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activeX/activeX2.bin" ContentType="application/vnd.ms-office.activeX"/>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8.xml" ContentType="application/vnd.openxmlformats-officedocument.drawing+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4.xml" ContentType="application/vnd.openxmlformats-officedocument.drawing+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comments4.xml" ContentType="application/vnd.openxmlformats-officedocument.spreadsheetml.comments+xml"/>
  <Override PartName="/xl/embeddings/oleObject2.bin" ContentType="application/vnd.openxmlformats-officedocument.oleObject"/>
  <Override PartName="/xl/worksheets/sheet3.xml" ContentType="application/vnd.openxmlformats-officedocument.spreadsheetml.worksheet+xml"/>
  <Override PartName="/xl/comments2.xml" ContentType="application/vnd.openxmlformats-officedocument.spreadsheetml.comments+xml"/>
  <Override PartName="/xl/drawings/drawing13.xml" ContentType="application/vnd.openxmlformats-officedocument.drawing+xml"/>
  <Override PartName="/xl/activeX/activeX1.xml" ContentType="application/vnd.ms-office.activeX+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drawings/drawing7.xml" ContentType="application/vnd.openxmlformats-officedocument.drawing+xml"/>
  <Override PartName="/xl/activeX/activeX1.bin" ContentType="application/vnd.ms-office.activeX"/>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drawings/drawing5.xml" ContentType="application/vnd.openxmlformats-officedocument.drawing+xml"/>
  <Default Extension="jpeg" ContentType="image/jpeg"/>
  <Override PartName="/xl/comments7.xml" ContentType="application/vnd.openxmlformats-officedocument.spreadsheetml.comments+xml"/>
  <Default Extension="emf" ContentType="image/x-emf"/>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xl/comments5.xml" ContentType="application/vnd.openxmlformats-officedocument.spreadsheetml.comments+xml"/>
  <Override PartName="/xl/embeddings/oleObject1.bin" ContentType="application/vnd.openxmlformats-officedocument.oleObject"/>
  <Override PartName="/xl/activeX/activeX2.xml" ContentType="application/vnd.ms-office.activeX+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drawings/drawing14.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bookViews>
    <workbookView xWindow="10785" yWindow="6000" windowWidth="10860" windowHeight="6015" firstSheet="4" activeTab="6"/>
  </bookViews>
  <sheets>
    <sheet name="Cta Med" sheetId="39" r:id="rId1"/>
    <sheet name="Personal Takushi" sheetId="47" r:id="rId2"/>
    <sheet name="Unds_Carrga_Peligrs" sheetId="48" r:id="rId3"/>
    <sheet name="Unds-Rep_Qmpc" sheetId="52" r:id="rId4"/>
    <sheet name="Unds-Rep_Qmpc (2016-2017)" sheetId="53" r:id="rId5"/>
    <sheet name="KlmRc_Unds" sheetId="51" r:id="rId6"/>
    <sheet name="Hoja4" sheetId="46" r:id="rId7"/>
    <sheet name="Merc en General" sheetId="54" r:id="rId8"/>
    <sheet name="MTC-Takushi" sheetId="49" r:id="rId9"/>
    <sheet name="Borrador Tl-Bcp " sheetId="43" r:id="rId10"/>
    <sheet name="VENCIMIENTOS" sheetId="1" r:id="rId11"/>
    <sheet name="MTC-Transcosta" sheetId="37" r:id="rId12"/>
    <sheet name="Ant_MTC-Takushi" sheetId="36" r:id="rId13"/>
    <sheet name="Reg_Nxtl" sheetId="40" r:id="rId14"/>
    <sheet name="Revisones Tecnicas" sheetId="30" r:id="rId15"/>
    <sheet name="Flota al 260109" sheetId="28" r:id="rId16"/>
    <sheet name="TCT-Operac" sheetId="35" r:id="rId17"/>
    <sheet name="Cert-Oper-MTC" sheetId="32" r:id="rId18"/>
    <sheet name="Conv de 02 a 03 ejes" sheetId="15" r:id="rId19"/>
    <sheet name="Cert-UNI-ORLC Ok" sheetId="27" r:id="rId20"/>
    <sheet name="MTC-Veh" sheetId="21" r:id="rId21"/>
    <sheet name="Certt Conf UNI (MTC-TCvial)" sheetId="24" r:id="rId22"/>
    <sheet name="Certt Conf UNI" sheetId="23" r:id="rId23"/>
    <sheet name="PERSONAL Transcosta" sheetId="10" r:id="rId24"/>
    <sheet name="Data Transcosta" sheetId="50" r:id="rId25"/>
    <sheet name="DISTRIBUCION Transcosta" sheetId="11" r:id="rId26"/>
    <sheet name="Hoja2" sheetId="20" r:id="rId27"/>
    <sheet name="Hoja1" sheetId="19" r:id="rId28"/>
    <sheet name="Ransa - Varios" sheetId="5" r:id="rId29"/>
    <sheet name="Varios" sheetId="4" r:id="rId30"/>
    <sheet name="Pgs-DesMed" sheetId="16" r:id="rId31"/>
    <sheet name="Presp-Taller" sheetId="38" r:id="rId32"/>
    <sheet name="Contactos 090311" sheetId="41" r:id="rId33"/>
  </sheets>
  <definedNames>
    <definedName name="_xlnm._FilterDatabase" localSheetId="10" hidden="1">VENCIMIENTOS!$F$60:$F$62</definedName>
    <definedName name="ANTO" localSheetId="4">#REF!</definedName>
    <definedName name="ANTO">#REF!</definedName>
    <definedName name="ANTONI" localSheetId="4">#REF!</definedName>
    <definedName name="ANTONI">#REF!</definedName>
    <definedName name="_xlnm.Print_Area" localSheetId="12">'Ant_MTC-Takushi'!$R$6:$W$39</definedName>
    <definedName name="_xlnm.Print_Area" localSheetId="9">'Borrador Tl-Bcp '!$I$1610:$R$1647</definedName>
    <definedName name="_xlnm.Print_Area" localSheetId="17">'Cert-Oper-MTC'!$B$2:$G$18</definedName>
    <definedName name="_xlnm.Print_Area" localSheetId="22">'Certt Conf UNI'!$A$5:$U$37</definedName>
    <definedName name="_xlnm.Print_Area" localSheetId="21">'Certt Conf UNI (MTC-TCvial)'!$B$96:$O$122</definedName>
    <definedName name="_xlnm.Print_Area" localSheetId="19">'Cert-UNI-ORLC Ok'!$B$2:$I$55</definedName>
    <definedName name="_xlnm.Print_Area" localSheetId="18">'Conv de 02 a 03 ejes'!$B$28:$I$33</definedName>
    <definedName name="_xlnm.Print_Area" localSheetId="0">'Cta Med'!$B$10:$C$16</definedName>
    <definedName name="_xlnm.Print_Area" localSheetId="24">'Data Transcosta'!$F$13:$H$47</definedName>
    <definedName name="_xlnm.Print_Area" localSheetId="25">'DISTRIBUCION Transcosta'!$C$2:$L$28</definedName>
    <definedName name="_xlnm.Print_Area" localSheetId="15">'Flota al 260109'!$C$104:$D$112</definedName>
    <definedName name="_xlnm.Print_Area" localSheetId="26">Hoja2!$B$2:$G$34</definedName>
    <definedName name="_xlnm.Print_Area" localSheetId="6">Hoja4!$A$286:$E$304</definedName>
    <definedName name="_xlnm.Print_Area" localSheetId="8">'MTC-Takushi'!$A$1:$V$92</definedName>
    <definedName name="_xlnm.Print_Area" localSheetId="11">'MTC-Transcosta'!$B$1:$M$25</definedName>
    <definedName name="_xlnm.Print_Area" localSheetId="1">'Personal Takushi'!#REF!</definedName>
    <definedName name="_xlnm.Print_Area" localSheetId="23">'PERSONAL Transcosta'!$C$2:$L$83</definedName>
    <definedName name="_xlnm.Print_Area" localSheetId="30">'Pgs-DesMed'!$B$2:$L$57</definedName>
    <definedName name="_xlnm.Print_Area" localSheetId="31">'Presp-Taller'!$J$21:$O$53</definedName>
    <definedName name="_xlnm.Print_Area" localSheetId="28">'Ransa - Varios'!$B$2:$L$24</definedName>
    <definedName name="_xlnm.Print_Area" localSheetId="13">Reg_Nxtl!$E$2:$M$28</definedName>
    <definedName name="_xlnm.Print_Area" localSheetId="14">'Revisones Tecnicas'!$N$28:$P$35</definedName>
    <definedName name="_xlnm.Print_Area" localSheetId="16">'TCT-Operac'!$B$1:$V$40</definedName>
    <definedName name="_xlnm.Print_Area" localSheetId="2">Unds_Carrga_Peligrs!#REF!</definedName>
    <definedName name="_xlnm.Print_Area" localSheetId="29">Varios!$B$3:$D$16</definedName>
    <definedName name="_xlnm.Print_Area" localSheetId="10">VENCIMIENTOS!$AO$8:$AT$10</definedName>
    <definedName name="_xlnm.Database" localSheetId="4">#REF!</definedName>
    <definedName name="_xlnm.Database">#REF!</definedName>
    <definedName name="Contactos">'Contactos 090311'!$A$1:$CN$145</definedName>
    <definedName name="cr_diario_de_vencimientos___takushi_sac_hoja1__2_" localSheetId="4">#REF!</definedName>
    <definedName name="cr_diario_de_vencimientos___takushi_sac_hoja1__2_">#REF!</definedName>
    <definedName name="ghgh" localSheetId="4">#REF!</definedName>
    <definedName name="ghgh">#REF!</definedName>
    <definedName name="_xlnm.Print_Titles" localSheetId="12">'Ant_MTC-Takushi'!$1:$11</definedName>
    <definedName name="_xlnm.Print_Titles" localSheetId="8">'MTC-Takushi'!$1:$12</definedName>
  </definedNames>
  <calcPr calcId="124519"/>
</workbook>
</file>

<file path=xl/calcChain.xml><?xml version="1.0" encoding="utf-8"?>
<calcChain xmlns="http://schemas.openxmlformats.org/spreadsheetml/2006/main">
  <c r="F50" i="46"/>
  <c r="F49"/>
  <c r="F48"/>
  <c r="Q90" l="1"/>
  <c r="Q89"/>
  <c r="Q88"/>
  <c r="Q87"/>
  <c r="AX35" i="51" l="1"/>
  <c r="AX33"/>
  <c r="AX13"/>
  <c r="AX31"/>
  <c r="AX30"/>
  <c r="AX25"/>
  <c r="AX24"/>
  <c r="AX36" s="1"/>
  <c r="AX18"/>
  <c r="AX12"/>
  <c r="AX7"/>
  <c r="AX6"/>
  <c r="AW31" l="1"/>
  <c r="AW30"/>
  <c r="AW25"/>
  <c r="AW24"/>
  <c r="AW18"/>
  <c r="AW13"/>
  <c r="AW12"/>
  <c r="AW7"/>
  <c r="AW6"/>
  <c r="T119" i="46" l="1"/>
  <c r="T120" s="1"/>
  <c r="T121" s="1"/>
  <c r="T122" s="1"/>
  <c r="Q91" l="1"/>
  <c r="M32" l="1"/>
  <c r="M31"/>
  <c r="AV24" i="51" l="1"/>
  <c r="AV31"/>
  <c r="AV30"/>
  <c r="AV25"/>
  <c r="AV18"/>
  <c r="AV13"/>
  <c r="AV12"/>
  <c r="AV7"/>
  <c r="AV6"/>
  <c r="K1963" i="43"/>
  <c r="L1963" s="1"/>
  <c r="AU24" i="51" l="1"/>
  <c r="AU31"/>
  <c r="AU30"/>
  <c r="AU25"/>
  <c r="AU18"/>
  <c r="AU13"/>
  <c r="AU12"/>
  <c r="AU7"/>
  <c r="AU6"/>
  <c r="AS24" l="1"/>
  <c r="AT31"/>
  <c r="AT30"/>
  <c r="AT24"/>
  <c r="AT25"/>
  <c r="P1967" i="43" l="1"/>
  <c r="P1968" s="1"/>
  <c r="AT7" i="51"/>
  <c r="AT6"/>
  <c r="AT17"/>
  <c r="AT18"/>
  <c r="AT13"/>
  <c r="AT12"/>
  <c r="AS31"/>
  <c r="AS30"/>
  <c r="AS12"/>
  <c r="AS25"/>
  <c r="AS19"/>
  <c r="AS18"/>
  <c r="AS13"/>
  <c r="AS7"/>
  <c r="AS6"/>
  <c r="Q1957" i="43"/>
  <c r="Q1959" s="1"/>
  <c r="AT19" i="51" l="1"/>
  <c r="AX19"/>
  <c r="AW19"/>
  <c r="AV19"/>
  <c r="AU19"/>
  <c r="K1964" i="43"/>
  <c r="L1964" s="1"/>
  <c r="T108" i="46"/>
  <c r="T109" s="1"/>
  <c r="T110" s="1"/>
  <c r="H87"/>
  <c r="H88"/>
  <c r="K88" l="1"/>
  <c r="I89"/>
  <c r="I90"/>
  <c r="AW36" i="51"/>
  <c r="AV36"/>
  <c r="AU36"/>
  <c r="AT36"/>
  <c r="AW35"/>
  <c r="AV35"/>
  <c r="AU35"/>
  <c r="AT35"/>
  <c r="AW33"/>
  <c r="AV33"/>
  <c r="AU33"/>
  <c r="AT33"/>
  <c r="AR24"/>
  <c r="AR25"/>
  <c r="AR30"/>
  <c r="AR31"/>
  <c r="AR19"/>
  <c r="AR18"/>
  <c r="AR12"/>
  <c r="AR13"/>
  <c r="AR7"/>
  <c r="AR6"/>
  <c r="AO29" l="1"/>
  <c r="AO28"/>
  <c r="AD19" i="1"/>
  <c r="AE19"/>
  <c r="AD18"/>
  <c r="AE18"/>
  <c r="AD17"/>
  <c r="AE17"/>
  <c r="AD16"/>
  <c r="AE16"/>
  <c r="T88" i="46"/>
  <c r="T89" s="1"/>
  <c r="T90" s="1"/>
  <c r="T80"/>
  <c r="T81" s="1"/>
  <c r="T82" s="1"/>
  <c r="T72"/>
  <c r="T73" s="1"/>
  <c r="T74" s="1"/>
  <c r="T64"/>
  <c r="T65" s="1"/>
  <c r="T66" s="1"/>
  <c r="T55"/>
  <c r="T56" s="1"/>
  <c r="T57" s="1"/>
  <c r="T40"/>
  <c r="T41" s="1"/>
  <c r="T42" s="1"/>
  <c r="T31"/>
  <c r="T32" s="1"/>
  <c r="T33" s="1"/>
  <c r="AP31" i="51" l="1"/>
  <c r="AQ31"/>
  <c r="AP30"/>
  <c r="AQ30"/>
  <c r="Q92" i="46"/>
  <c r="AQ11" i="51" l="1"/>
  <c r="AQ13" s="1"/>
  <c r="AQ25"/>
  <c r="AQ24"/>
  <c r="AQ19"/>
  <c r="AQ18"/>
  <c r="AQ12"/>
  <c r="AQ7"/>
  <c r="AQ6"/>
  <c r="AP25" l="1"/>
  <c r="AP24"/>
  <c r="AP19"/>
  <c r="AP18"/>
  <c r="AP13"/>
  <c r="AP12"/>
  <c r="AP7"/>
  <c r="AP6"/>
  <c r="I1962" i="43" l="1"/>
  <c r="T96" i="46"/>
  <c r="T97" s="1"/>
  <c r="T98" s="1"/>
  <c r="AO25" i="51" l="1"/>
  <c r="AO24"/>
  <c r="AO19"/>
  <c r="AO18"/>
  <c r="AO13"/>
  <c r="AO12"/>
  <c r="AO7"/>
  <c r="AO6"/>
  <c r="J1962" i="43" l="1"/>
  <c r="AN7" i="51"/>
  <c r="AN6"/>
  <c r="AN25"/>
  <c r="AN24"/>
  <c r="AN19"/>
  <c r="AN18"/>
  <c r="AN13"/>
  <c r="AN12"/>
  <c r="AM12" l="1"/>
  <c r="AM13"/>
  <c r="AM25"/>
  <c r="AM24"/>
  <c r="AM19"/>
  <c r="AM18"/>
  <c r="AJ25" l="1"/>
  <c r="AJ24"/>
  <c r="AJ7"/>
  <c r="AJ6"/>
  <c r="Q122" i="46"/>
  <c r="Q121"/>
  <c r="K41" l="1"/>
  <c r="K40"/>
  <c r="AM7" i="51" l="1"/>
  <c r="AM6"/>
  <c r="AS36" l="1"/>
  <c r="AR36"/>
  <c r="AQ36"/>
  <c r="AP36"/>
  <c r="AO36"/>
  <c r="AN36"/>
  <c r="AM36"/>
  <c r="AS35"/>
  <c r="AR35"/>
  <c r="AQ35"/>
  <c r="AP35"/>
  <c r="AO35"/>
  <c r="AN35"/>
  <c r="AM35"/>
  <c r="AS33"/>
  <c r="AR33"/>
  <c r="AQ33"/>
  <c r="AP33"/>
  <c r="AO33"/>
  <c r="AN33"/>
  <c r="AM33"/>
  <c r="AL25"/>
  <c r="AL24"/>
  <c r="AL19"/>
  <c r="AL18"/>
  <c r="AL13"/>
  <c r="AL12"/>
  <c r="AL7"/>
  <c r="AL6"/>
  <c r="AK19" l="1"/>
  <c r="AK18"/>
  <c r="AK13"/>
  <c r="AK12"/>
  <c r="AK7"/>
  <c r="AK6"/>
  <c r="AK25"/>
  <c r="AK24"/>
  <c r="AJ13"/>
  <c r="AJ12"/>
  <c r="Q99" i="46" l="1"/>
  <c r="Q100" s="1"/>
  <c r="Q104" s="1"/>
  <c r="Q119"/>
  <c r="Q120" s="1"/>
  <c r="Q124" s="1"/>
  <c r="N40" l="1"/>
  <c r="AI7" i="51" l="1"/>
  <c r="AI6"/>
  <c r="AI25"/>
  <c r="AI24"/>
  <c r="AI13"/>
  <c r="AI12"/>
  <c r="AL36" l="1"/>
  <c r="AK36"/>
  <c r="AJ36"/>
  <c r="AL35"/>
  <c r="AK35"/>
  <c r="AL33"/>
  <c r="AK33"/>
  <c r="AJ33"/>
  <c r="AH24"/>
  <c r="AH13"/>
  <c r="AH12"/>
  <c r="AH7"/>
  <c r="AH6"/>
  <c r="L65" i="46" l="1"/>
  <c r="AI36" i="51" l="1"/>
  <c r="AI33"/>
  <c r="AH33"/>
  <c r="AG7"/>
  <c r="AG6"/>
  <c r="AG24"/>
  <c r="AG13"/>
  <c r="AG12"/>
  <c r="AG33" l="1"/>
  <c r="AF6"/>
  <c r="AF7"/>
  <c r="AF24"/>
  <c r="AF13"/>
  <c r="AF12"/>
  <c r="AF33" l="1"/>
  <c r="N46" i="46"/>
  <c r="N45"/>
  <c r="AE7" i="51" l="1"/>
  <c r="AE6"/>
  <c r="AE24"/>
  <c r="AE13"/>
  <c r="AE12"/>
  <c r="AD24" l="1"/>
  <c r="AD13"/>
  <c r="AD12"/>
  <c r="AD7"/>
  <c r="AD6"/>
  <c r="AD15" i="1" l="1"/>
  <c r="AE15"/>
  <c r="AD14"/>
  <c r="AE14"/>
  <c r="AD13"/>
  <c r="AE13"/>
  <c r="AD12"/>
  <c r="AE12"/>
  <c r="AE11"/>
  <c r="AD11"/>
  <c r="AC24" i="51" l="1"/>
  <c r="AC13"/>
  <c r="AC12"/>
  <c r="AC7"/>
  <c r="AC6"/>
  <c r="AB38" l="1"/>
  <c r="AB40" s="1"/>
  <c r="AE33" l="1"/>
  <c r="AD33"/>
  <c r="AC33"/>
  <c r="AB24"/>
  <c r="AB7"/>
  <c r="AB6"/>
  <c r="AB12"/>
  <c r="AA24" l="1"/>
  <c r="AA12"/>
  <c r="AA7"/>
  <c r="AA6"/>
  <c r="K257" i="46" l="1"/>
  <c r="K258" s="1"/>
  <c r="K259" s="1"/>
  <c r="K260" s="1"/>
  <c r="K261" s="1"/>
  <c r="K262" s="1"/>
  <c r="K263" s="1"/>
  <c r="K264" s="1"/>
  <c r="K265" s="1"/>
  <c r="K266" s="1"/>
  <c r="K267" s="1"/>
  <c r="K268" s="1"/>
  <c r="K269" s="1"/>
  <c r="K270" s="1"/>
  <c r="K271" s="1"/>
  <c r="K272" s="1"/>
  <c r="K273" s="1"/>
  <c r="K274" s="1"/>
  <c r="Q82" l="1"/>
  <c r="Y23" i="51" l="1"/>
  <c r="Z12"/>
  <c r="Z24"/>
  <c r="Y16"/>
  <c r="Z17" s="1"/>
  <c r="Z18"/>
  <c r="Y24"/>
  <c r="Y12"/>
  <c r="Z7"/>
  <c r="Z6"/>
  <c r="Y18" l="1"/>
  <c r="AJ19"/>
  <c r="AI19"/>
  <c r="AH19"/>
  <c r="AG19"/>
  <c r="AF19"/>
  <c r="AE19"/>
  <c r="AD19"/>
  <c r="Z25"/>
  <c r="AH25"/>
  <c r="AH36" s="1"/>
  <c r="AG25"/>
  <c r="AG36" s="1"/>
  <c r="AF25"/>
  <c r="AF36" s="1"/>
  <c r="AE25"/>
  <c r="AE36" s="1"/>
  <c r="AD25"/>
  <c r="AD36" s="1"/>
  <c r="AC25"/>
  <c r="AC36" s="1"/>
  <c r="AB25"/>
  <c r="AB36" s="1"/>
  <c r="AA25"/>
  <c r="AC19"/>
  <c r="AB19"/>
  <c r="AA19"/>
  <c r="AA36"/>
  <c r="AB33"/>
  <c r="AA33"/>
  <c r="Y7"/>
  <c r="Y6"/>
  <c r="Z36" l="1"/>
  <c r="Z33"/>
  <c r="Y33"/>
  <c r="X24"/>
  <c r="X38"/>
  <c r="X18"/>
  <c r="X12"/>
  <c r="X7"/>
  <c r="X6"/>
  <c r="U1942" i="43" l="1"/>
  <c r="T1942" s="1"/>
  <c r="T1943" s="1"/>
  <c r="U1944" s="1"/>
  <c r="W1944" s="1"/>
  <c r="U1937"/>
  <c r="T1937" s="1"/>
  <c r="T1938" s="1"/>
  <c r="U1939" s="1"/>
  <c r="U1932"/>
  <c r="T1932" s="1"/>
  <c r="T1933" s="1"/>
  <c r="U1934" s="1"/>
  <c r="W1934" s="1"/>
  <c r="U1927"/>
  <c r="T1927" s="1"/>
  <c r="T1928" s="1"/>
  <c r="U1929" s="1"/>
  <c r="W1929" s="1"/>
  <c r="U1922"/>
  <c r="T1922" s="1"/>
  <c r="T1923" s="1"/>
  <c r="U1924" s="1"/>
  <c r="U1917"/>
  <c r="T1917" s="1"/>
  <c r="T1918" s="1"/>
  <c r="U1919" s="1"/>
  <c r="W1919" s="1"/>
  <c r="P1937" l="1"/>
  <c r="R1937" s="1"/>
  <c r="N1934"/>
  <c r="Q1943"/>
  <c r="O1943"/>
  <c r="O1944" s="1"/>
  <c r="M1943"/>
  <c r="M1945" s="1"/>
  <c r="K1943"/>
  <c r="P1942"/>
  <c r="R1942" s="1"/>
  <c r="P1941"/>
  <c r="R1941" s="1"/>
  <c r="P1940"/>
  <c r="R1940" s="1"/>
  <c r="P1939"/>
  <c r="N1939"/>
  <c r="P1938"/>
  <c r="N1938"/>
  <c r="P1936"/>
  <c r="N1936"/>
  <c r="P1935"/>
  <c r="R1935" s="1"/>
  <c r="P1934"/>
  <c r="L1934"/>
  <c r="P1933"/>
  <c r="N1933"/>
  <c r="L1933"/>
  <c r="P1932"/>
  <c r="N1932"/>
  <c r="L1932"/>
  <c r="P1931"/>
  <c r="N1931"/>
  <c r="P1930"/>
  <c r="N1930"/>
  <c r="P1929"/>
  <c r="N1929"/>
  <c r="P1928"/>
  <c r="N1928"/>
  <c r="P1927"/>
  <c r="N1927"/>
  <c r="P1926"/>
  <c r="N1926"/>
  <c r="L1926"/>
  <c r="P1925"/>
  <c r="N1925"/>
  <c r="P1924"/>
  <c r="N1924"/>
  <c r="P1923"/>
  <c r="P1922"/>
  <c r="N1922"/>
  <c r="U1912"/>
  <c r="T1912" s="1"/>
  <c r="T1913" s="1"/>
  <c r="U1914" s="1"/>
  <c r="W1914" s="1"/>
  <c r="P1921"/>
  <c r="N1921"/>
  <c r="P1920"/>
  <c r="N1920"/>
  <c r="P1919"/>
  <c r="N1919"/>
  <c r="L1919"/>
  <c r="P1918"/>
  <c r="N1918"/>
  <c r="P1917"/>
  <c r="N1917"/>
  <c r="L1917"/>
  <c r="U1907"/>
  <c r="T1907" s="1"/>
  <c r="T1908" s="1"/>
  <c r="U1909" s="1"/>
  <c r="P1916"/>
  <c r="N1916"/>
  <c r="L1916"/>
  <c r="P1915"/>
  <c r="N1915"/>
  <c r="P1914"/>
  <c r="N1914"/>
  <c r="P1913"/>
  <c r="P1912"/>
  <c r="P1911"/>
  <c r="N1911"/>
  <c r="L1911"/>
  <c r="N1910"/>
  <c r="L1910"/>
  <c r="P1909"/>
  <c r="N1909"/>
  <c r="T1904"/>
  <c r="P1908"/>
  <c r="L1908"/>
  <c r="L1907"/>
  <c r="R1907" s="1"/>
  <c r="L1906"/>
  <c r="R1916" l="1"/>
  <c r="R1928"/>
  <c r="R1929"/>
  <c r="R1930"/>
  <c r="R1931"/>
  <c r="L1943"/>
  <c r="R1908"/>
  <c r="R1933"/>
  <c r="R1936"/>
  <c r="R1938"/>
  <c r="R1939"/>
  <c r="R1906"/>
  <c r="R1917"/>
  <c r="R1927"/>
  <c r="P1943"/>
  <c r="P1944" s="1"/>
  <c r="R1918"/>
  <c r="R1926"/>
  <c r="R1934"/>
  <c r="R1911"/>
  <c r="R1912"/>
  <c r="R1913"/>
  <c r="R1914"/>
  <c r="R1915"/>
  <c r="R1920"/>
  <c r="R1921"/>
  <c r="R1922"/>
  <c r="R1923"/>
  <c r="R1924"/>
  <c r="R1925"/>
  <c r="R1932"/>
  <c r="N1943"/>
  <c r="R1943" s="1"/>
  <c r="R1945" s="1"/>
  <c r="R1910"/>
  <c r="R1919"/>
  <c r="R1909"/>
  <c r="P1890" l="1"/>
  <c r="W24" i="51" l="1"/>
  <c r="W18"/>
  <c r="W12"/>
  <c r="W7"/>
  <c r="W6"/>
  <c r="H44" i="38" l="1"/>
  <c r="O41"/>
  <c r="H39"/>
  <c r="H38"/>
  <c r="H37"/>
  <c r="H36"/>
  <c r="H35"/>
  <c r="H30"/>
  <c r="H29"/>
  <c r="H28"/>
  <c r="H27"/>
  <c r="H26"/>
  <c r="H25"/>
  <c r="H24"/>
  <c r="G156" i="16"/>
  <c r="G154"/>
  <c r="G153"/>
  <c r="G152"/>
  <c r="G151"/>
  <c r="G149"/>
  <c r="I148"/>
  <c r="G148"/>
  <c r="G147"/>
  <c r="V145"/>
  <c r="U139"/>
  <c r="J138"/>
  <c r="K136" s="1"/>
  <c r="J136"/>
  <c r="I136"/>
  <c r="H136"/>
  <c r="G136" s="1"/>
  <c r="U135"/>
  <c r="K135"/>
  <c r="U130"/>
  <c r="J129"/>
  <c r="I129"/>
  <c r="U126"/>
  <c r="U121"/>
  <c r="U116"/>
  <c r="U112"/>
  <c r="U108"/>
  <c r="G105"/>
  <c r="G104"/>
  <c r="U103"/>
  <c r="G103"/>
  <c r="G102"/>
  <c r="G101"/>
  <c r="G100"/>
  <c r="U98"/>
  <c r="G98"/>
  <c r="G97"/>
  <c r="G96"/>
  <c r="U94"/>
  <c r="U89"/>
  <c r="H85"/>
  <c r="H84"/>
  <c r="H83"/>
  <c r="F83"/>
  <c r="E84" s="1"/>
  <c r="G82"/>
  <c r="G85" s="1"/>
  <c r="J76"/>
  <c r="J87" s="1"/>
  <c r="I76"/>
  <c r="G53"/>
  <c r="G52"/>
  <c r="G51"/>
  <c r="G50"/>
  <c r="G49"/>
  <c r="G48"/>
  <c r="G46"/>
  <c r="G45"/>
  <c r="G44"/>
  <c r="J35"/>
  <c r="H33"/>
  <c r="H32"/>
  <c r="H31"/>
  <c r="F31"/>
  <c r="G30"/>
  <c r="G33" s="1"/>
  <c r="I24"/>
  <c r="H24"/>
  <c r="G24"/>
  <c r="I23"/>
  <c r="H23"/>
  <c r="G23"/>
  <c r="I22"/>
  <c r="H22"/>
  <c r="G22"/>
  <c r="I21"/>
  <c r="H21"/>
  <c r="G21"/>
  <c r="J15"/>
  <c r="I15"/>
  <c r="H25" i="4"/>
  <c r="I25" s="1"/>
  <c r="H24"/>
  <c r="H26" s="1"/>
  <c r="I26" s="1"/>
  <c r="D22"/>
  <c r="G45" i="5"/>
  <c r="G44"/>
  <c r="G43"/>
  <c r="G42"/>
  <c r="B33"/>
  <c r="G18" i="19"/>
  <c r="J28" i="11"/>
  <c r="I28"/>
  <c r="H28"/>
  <c r="G26"/>
  <c r="G18"/>
  <c r="G13"/>
  <c r="G8"/>
  <c r="G28" s="1"/>
  <c r="C20" i="10"/>
  <c r="B20"/>
  <c r="B6"/>
  <c r="E70" i="23"/>
  <c r="E67"/>
  <c r="E66"/>
  <c r="E65"/>
  <c r="E60"/>
  <c r="C59"/>
  <c r="C61" s="1"/>
  <c r="M54"/>
  <c r="F48"/>
  <c r="D47"/>
  <c r="G47" s="1"/>
  <c r="Y41"/>
  <c r="X35"/>
  <c r="U35"/>
  <c r="R35"/>
  <c r="O35"/>
  <c r="J35"/>
  <c r="N34"/>
  <c r="AJ15" s="1"/>
  <c r="M34"/>
  <c r="M35" s="1"/>
  <c r="E34"/>
  <c r="G30"/>
  <c r="AJ28"/>
  <c r="AJ27"/>
  <c r="AJ31" s="1"/>
  <c r="G26"/>
  <c r="G24"/>
  <c r="AB23"/>
  <c r="G23"/>
  <c r="AB19"/>
  <c r="Z19"/>
  <c r="G19"/>
  <c r="AB18"/>
  <c r="Z18"/>
  <c r="G18"/>
  <c r="G16"/>
  <c r="AJ14"/>
  <c r="AJ18" s="1"/>
  <c r="G14"/>
  <c r="Z13"/>
  <c r="AB13" s="1"/>
  <c r="G12"/>
  <c r="G10"/>
  <c r="E151" i="24"/>
  <c r="E148"/>
  <c r="E147"/>
  <c r="E146"/>
  <c r="E141"/>
  <c r="C140"/>
  <c r="C142" s="1"/>
  <c r="F138"/>
  <c r="D137"/>
  <c r="B3" i="21"/>
  <c r="L31" i="15"/>
  <c r="I31" s="1"/>
  <c r="F31"/>
  <c r="L30"/>
  <c r="L33" s="1"/>
  <c r="F30"/>
  <c r="I30" s="1"/>
  <c r="I33" s="1"/>
  <c r="M31" s="1"/>
  <c r="L25"/>
  <c r="I25"/>
  <c r="M24"/>
  <c r="L24"/>
  <c r="I24"/>
  <c r="M23" s="1"/>
  <c r="L23"/>
  <c r="L27" s="1"/>
  <c r="I27" s="1"/>
  <c r="M25" s="1"/>
  <c r="I23"/>
  <c r="Y18"/>
  <c r="Y17"/>
  <c r="Y16"/>
  <c r="K85" i="16" l="1"/>
  <c r="Y35" i="23"/>
  <c r="N38"/>
  <c r="E59"/>
  <c r="G46" i="5"/>
  <c r="I24" i="4"/>
  <c r="K30" i="16"/>
  <c r="I30" s="1"/>
  <c r="G31"/>
  <c r="K33"/>
  <c r="I82"/>
  <c r="G108"/>
  <c r="G159"/>
  <c r="H40" i="38"/>
  <c r="O51"/>
  <c r="O52" s="1"/>
  <c r="O53" s="1"/>
  <c r="M30" i="15"/>
  <c r="E140" i="24"/>
  <c r="G11" i="23"/>
  <c r="G15" s="1"/>
  <c r="G13"/>
  <c r="H15" s="1"/>
  <c r="G17"/>
  <c r="H21" s="1"/>
  <c r="AJ20" s="1"/>
  <c r="G20"/>
  <c r="G22"/>
  <c r="G25"/>
  <c r="G28"/>
  <c r="G29"/>
  <c r="G31"/>
  <c r="G32"/>
  <c r="G38"/>
  <c r="G42"/>
  <c r="D29" i="4"/>
  <c r="G32" i="16"/>
  <c r="G56"/>
  <c r="K82"/>
  <c r="G83"/>
  <c r="K83" s="1"/>
  <c r="G84"/>
  <c r="U145"/>
  <c r="V147"/>
  <c r="I152"/>
  <c r="K151" s="1"/>
  <c r="H31" i="38"/>
  <c r="O101" i="32"/>
  <c r="F84" i="16" l="1"/>
  <c r="K84"/>
  <c r="I85"/>
  <c r="I84"/>
  <c r="I97"/>
  <c r="I101" s="1"/>
  <c r="K100" s="1"/>
  <c r="I45"/>
  <c r="I49" s="1"/>
  <c r="K48" s="1"/>
  <c r="I33"/>
  <c r="I32"/>
  <c r="I31"/>
  <c r="K32"/>
  <c r="AJ24" i="23"/>
  <c r="U147" i="16"/>
  <c r="I83"/>
  <c r="H27" i="23"/>
  <c r="O129" i="32"/>
  <c r="P101"/>
  <c r="I33" i="30"/>
  <c r="I29"/>
  <c r="A25"/>
  <c r="B13" i="40"/>
  <c r="P9"/>
  <c r="P80" i="36"/>
  <c r="O80"/>
  <c r="P79"/>
  <c r="O79"/>
  <c r="P78"/>
  <c r="O78"/>
  <c r="P77"/>
  <c r="O77"/>
  <c r="P76"/>
  <c r="O76"/>
  <c r="P75"/>
  <c r="O75"/>
  <c r="P74"/>
  <c r="O74"/>
  <c r="P73"/>
  <c r="O73"/>
  <c r="P72"/>
  <c r="O72"/>
  <c r="P71"/>
  <c r="O71"/>
  <c r="P70"/>
  <c r="O70"/>
  <c r="P69"/>
  <c r="O69"/>
  <c r="P68"/>
  <c r="O68"/>
  <c r="P67"/>
  <c r="O67"/>
  <c r="P66"/>
  <c r="O66"/>
  <c r="P65"/>
  <c r="O65"/>
  <c r="P64"/>
  <c r="O64"/>
  <c r="P63"/>
  <c r="O63"/>
  <c r="P62"/>
  <c r="O62"/>
  <c r="P61"/>
  <c r="O61"/>
  <c r="P60"/>
  <c r="O60"/>
  <c r="P59"/>
  <c r="O59"/>
  <c r="P58"/>
  <c r="O58"/>
  <c r="P57"/>
  <c r="O57"/>
  <c r="P56"/>
  <c r="O56"/>
  <c r="P55"/>
  <c r="O55"/>
  <c r="P54"/>
  <c r="O54"/>
  <c r="P53"/>
  <c r="O53"/>
  <c r="P52"/>
  <c r="O52"/>
  <c r="P51"/>
  <c r="O51"/>
  <c r="P50"/>
  <c r="O50"/>
  <c r="P49"/>
  <c r="O49"/>
  <c r="P48"/>
  <c r="O48"/>
  <c r="P47"/>
  <c r="O47"/>
  <c r="P46"/>
  <c r="O46"/>
  <c r="P45"/>
  <c r="O45"/>
  <c r="P44"/>
  <c r="O44"/>
  <c r="P43"/>
  <c r="O43"/>
  <c r="P42"/>
  <c r="O42"/>
  <c r="P41"/>
  <c r="O41"/>
  <c r="P40"/>
  <c r="O40"/>
  <c r="P39"/>
  <c r="O39"/>
  <c r="P38"/>
  <c r="O38"/>
  <c r="P37"/>
  <c r="O37"/>
  <c r="P36"/>
  <c r="O36"/>
  <c r="P35"/>
  <c r="O35"/>
  <c r="P34"/>
  <c r="O34"/>
  <c r="P33"/>
  <c r="O33"/>
  <c r="P32"/>
  <c r="O32"/>
  <c r="P31"/>
  <c r="O31"/>
  <c r="P30"/>
  <c r="O30"/>
  <c r="P29"/>
  <c r="O29"/>
  <c r="P28"/>
  <c r="O28"/>
  <c r="P27"/>
  <c r="O27"/>
  <c r="P26"/>
  <c r="O26"/>
  <c r="P25"/>
  <c r="O25"/>
  <c r="P24"/>
  <c r="O24"/>
  <c r="P23"/>
  <c r="O23"/>
  <c r="P22"/>
  <c r="O22"/>
  <c r="P21"/>
  <c r="O21"/>
  <c r="P20"/>
  <c r="O20"/>
  <c r="P19"/>
  <c r="O19"/>
  <c r="P18"/>
  <c r="O18"/>
  <c r="P17"/>
  <c r="O17"/>
  <c r="P16"/>
  <c r="O16"/>
  <c r="P15"/>
  <c r="O15"/>
  <c r="P14"/>
  <c r="O14"/>
  <c r="P13"/>
  <c r="O13"/>
  <c r="P12"/>
  <c r="O12"/>
  <c r="E204" i="1"/>
  <c r="C201"/>
  <c r="C203" s="1"/>
  <c r="C185"/>
  <c r="C186" s="1"/>
  <c r="I182"/>
  <c r="I179"/>
  <c r="C178"/>
  <c r="C182" s="1"/>
  <c r="L173"/>
  <c r="K172"/>
  <c r="J172"/>
  <c r="C171"/>
  <c r="E169" s="1"/>
  <c r="I166"/>
  <c r="E163"/>
  <c r="E161" l="1"/>
  <c r="E162"/>
  <c r="E165"/>
  <c r="E168"/>
  <c r="E164"/>
  <c r="E166"/>
  <c r="E167"/>
  <c r="P129" i="32"/>
  <c r="O102"/>
  <c r="E160" i="1"/>
  <c r="L159"/>
  <c r="L160" s="1"/>
  <c r="L161" s="1"/>
  <c r="E159"/>
  <c r="E158" s="1"/>
  <c r="L154"/>
  <c r="L155" s="1"/>
  <c r="P150"/>
  <c r="E149"/>
  <c r="I147"/>
  <c r="J147" s="1"/>
  <c r="I146"/>
  <c r="J146" s="1"/>
  <c r="I145"/>
  <c r="J145" s="1"/>
  <c r="I144"/>
  <c r="J144" s="1"/>
  <c r="I143"/>
  <c r="J143" s="1"/>
  <c r="I142"/>
  <c r="J142" s="1"/>
  <c r="P141"/>
  <c r="I141"/>
  <c r="J141" s="1"/>
  <c r="U140"/>
  <c r="I140"/>
  <c r="I139"/>
  <c r="I138"/>
  <c r="U132"/>
  <c r="U131"/>
  <c r="U130"/>
  <c r="U128"/>
  <c r="U126"/>
  <c r="E171" l="1"/>
  <c r="J140"/>
  <c r="J139"/>
  <c r="U141"/>
  <c r="I149"/>
  <c r="K138" s="1"/>
  <c r="J138" s="1"/>
  <c r="O103" i="32"/>
  <c r="P102"/>
  <c r="AE128" i="1"/>
  <c r="AD128"/>
  <c r="AE127"/>
  <c r="AD127"/>
  <c r="AE126"/>
  <c r="AD126"/>
  <c r="AE125"/>
  <c r="AD125"/>
  <c r="AE124"/>
  <c r="AD124"/>
  <c r="AE123"/>
  <c r="AD123"/>
  <c r="AE122"/>
  <c r="AD122"/>
  <c r="AE121"/>
  <c r="AD121"/>
  <c r="AE120"/>
  <c r="AD120"/>
  <c r="AE119"/>
  <c r="AD119"/>
  <c r="AE118"/>
  <c r="AD118"/>
  <c r="AE117"/>
  <c r="AD117"/>
  <c r="AE116"/>
  <c r="AD116"/>
  <c r="AE110"/>
  <c r="AD110"/>
  <c r="AE109"/>
  <c r="AD109"/>
  <c r="AE108"/>
  <c r="AD108"/>
  <c r="AE107"/>
  <c r="AD107"/>
  <c r="AE106"/>
  <c r="AD106"/>
  <c r="AE105"/>
  <c r="AD105"/>
  <c r="U93"/>
  <c r="AE104"/>
  <c r="AD104"/>
  <c r="AE103"/>
  <c r="AD103"/>
  <c r="AE102"/>
  <c r="AD102"/>
  <c r="U90"/>
  <c r="AE101"/>
  <c r="AD101"/>
  <c r="AE100"/>
  <c r="AD100"/>
  <c r="AE99"/>
  <c r="AD99"/>
  <c r="S87"/>
  <c r="AE98"/>
  <c r="AD98"/>
  <c r="AE97"/>
  <c r="AD97"/>
  <c r="R84"/>
  <c r="AE92"/>
  <c r="AD92"/>
  <c r="AE91"/>
  <c r="AD91"/>
  <c r="AE90"/>
  <c r="AD90"/>
  <c r="U78"/>
  <c r="E78"/>
  <c r="AE89"/>
  <c r="AD89"/>
  <c r="AE88"/>
  <c r="AD88"/>
  <c r="AE87"/>
  <c r="AD87"/>
  <c r="AE86"/>
  <c r="AD86"/>
  <c r="U74"/>
  <c r="R74"/>
  <c r="J74"/>
  <c r="AE85"/>
  <c r="AD85"/>
  <c r="S73"/>
  <c r="AE84"/>
  <c r="AD84"/>
  <c r="P72"/>
  <c r="AE83"/>
  <c r="AD83"/>
  <c r="R71"/>
  <c r="R72" s="1"/>
  <c r="R77" l="1"/>
  <c r="S74"/>
  <c r="U95"/>
  <c r="P73"/>
  <c r="O104" i="32"/>
  <c r="P103"/>
  <c r="P68" i="1"/>
  <c r="R68" s="1"/>
  <c r="P67"/>
  <c r="AE78"/>
  <c r="AD78"/>
  <c r="R66"/>
  <c r="P66"/>
  <c r="K66"/>
  <c r="AE77"/>
  <c r="AD77"/>
  <c r="P65"/>
  <c r="E65"/>
  <c r="AE76"/>
  <c r="AD76"/>
  <c r="P64"/>
  <c r="R64" s="1"/>
  <c r="AE75"/>
  <c r="AD75"/>
  <c r="P63"/>
  <c r="R63" s="1"/>
  <c r="AE74"/>
  <c r="AD74"/>
  <c r="F62"/>
  <c r="E62"/>
  <c r="AE73"/>
  <c r="AD73"/>
  <c r="N61"/>
  <c r="N62" s="1"/>
  <c r="F61"/>
  <c r="AE72"/>
  <c r="AD72"/>
  <c r="P60"/>
  <c r="AE71"/>
  <c r="AD71"/>
  <c r="K59"/>
  <c r="AE70"/>
  <c r="AD70"/>
  <c r="AE69"/>
  <c r="AD69"/>
  <c r="P57"/>
  <c r="N57"/>
  <c r="AE68"/>
  <c r="AD68"/>
  <c r="U56"/>
  <c r="R56"/>
  <c r="U57" s="1"/>
  <c r="AE67"/>
  <c r="AD67"/>
  <c r="AE66"/>
  <c r="AD66"/>
  <c r="AE65"/>
  <c r="AD65"/>
  <c r="AE64"/>
  <c r="AD64"/>
  <c r="AE63"/>
  <c r="AD63"/>
  <c r="P51"/>
  <c r="AE62"/>
  <c r="AD62"/>
  <c r="S50"/>
  <c r="K50"/>
  <c r="AE61"/>
  <c r="AD61"/>
  <c r="AE60"/>
  <c r="AD60"/>
  <c r="L48"/>
  <c r="K49" s="1"/>
  <c r="I48"/>
  <c r="F47"/>
  <c r="V44"/>
  <c r="V42"/>
  <c r="L38"/>
  <c r="K38"/>
  <c r="K37"/>
  <c r="I37"/>
  <c r="K67" l="1"/>
  <c r="K48"/>
  <c r="R67"/>
  <c r="O105" i="32"/>
  <c r="P104"/>
  <c r="AE47" i="1"/>
  <c r="AD47"/>
  <c r="AE46"/>
  <c r="AD46"/>
  <c r="O106" i="32" l="1"/>
  <c r="P105"/>
  <c r="AE45" i="1"/>
  <c r="AD45"/>
  <c r="AE44"/>
  <c r="AD44"/>
  <c r="AE43"/>
  <c r="AD43"/>
  <c r="AE42"/>
  <c r="AD42"/>
  <c r="AE41"/>
  <c r="AD41"/>
  <c r="AE40"/>
  <c r="AD40"/>
  <c r="AE39"/>
  <c r="AD39"/>
  <c r="AE38"/>
  <c r="AD38"/>
  <c r="AE37"/>
  <c r="AD37"/>
  <c r="AE36"/>
  <c r="AD36"/>
  <c r="AE35"/>
  <c r="AD35"/>
  <c r="AE34"/>
  <c r="AD34"/>
  <c r="AE33"/>
  <c r="AD33"/>
  <c r="AE32"/>
  <c r="AD32"/>
  <c r="AE31"/>
  <c r="AD31"/>
  <c r="AE30"/>
  <c r="AD30"/>
  <c r="AE29"/>
  <c r="AD29"/>
  <c r="AE28"/>
  <c r="AD28"/>
  <c r="AE10"/>
  <c r="AD10"/>
  <c r="AE9"/>
  <c r="AD9"/>
  <c r="AE8"/>
  <c r="AD8"/>
  <c r="AE7"/>
  <c r="AD7"/>
  <c r="AE6"/>
  <c r="AD6"/>
  <c r="AE5"/>
  <c r="AD5"/>
  <c r="AE4"/>
  <c r="AD4"/>
  <c r="AE3"/>
  <c r="AD3"/>
  <c r="A1"/>
  <c r="L9" l="1"/>
  <c r="V5"/>
  <c r="V9"/>
  <c r="V3"/>
  <c r="V7"/>
  <c r="B1"/>
  <c r="S4"/>
  <c r="S6"/>
  <c r="S8"/>
  <c r="L3"/>
  <c r="F4"/>
  <c r="L5"/>
  <c r="F6"/>
  <c r="L7"/>
  <c r="F8"/>
  <c r="F278"/>
  <c r="F268"/>
  <c r="F262"/>
  <c r="F258"/>
  <c r="F281"/>
  <c r="F279"/>
  <c r="F277"/>
  <c r="F275"/>
  <c r="F273"/>
  <c r="F271"/>
  <c r="F269"/>
  <c r="F267"/>
  <c r="F265"/>
  <c r="F263"/>
  <c r="F261"/>
  <c r="F259"/>
  <c r="F257"/>
  <c r="F280"/>
  <c r="F276"/>
  <c r="F274"/>
  <c r="F272"/>
  <c r="F270"/>
  <c r="F266"/>
  <c r="F264"/>
  <c r="F260"/>
  <c r="O107" i="32"/>
  <c r="P106"/>
  <c r="F3" i="1"/>
  <c r="S3"/>
  <c r="L4"/>
  <c r="V4"/>
  <c r="F5"/>
  <c r="S5"/>
  <c r="L6"/>
  <c r="V6"/>
  <c r="F7"/>
  <c r="S7"/>
  <c r="L8"/>
  <c r="V8"/>
  <c r="F9"/>
  <c r="S9"/>
  <c r="L10"/>
  <c r="V10"/>
  <c r="F11"/>
  <c r="S11"/>
  <c r="L12"/>
  <c r="V12"/>
  <c r="F13"/>
  <c r="S13"/>
  <c r="F14"/>
  <c r="S14"/>
  <c r="F15"/>
  <c r="S15"/>
  <c r="F16"/>
  <c r="S16"/>
  <c r="F17"/>
  <c r="S17"/>
  <c r="F18"/>
  <c r="S18"/>
  <c r="F19"/>
  <c r="S19"/>
  <c r="F20"/>
  <c r="S20"/>
  <c r="F21"/>
  <c r="S21"/>
  <c r="F22"/>
  <c r="S22"/>
  <c r="F23"/>
  <c r="L24"/>
  <c r="S25"/>
  <c r="F26"/>
  <c r="F10"/>
  <c r="S10"/>
  <c r="L11"/>
  <c r="V11"/>
  <c r="F12"/>
  <c r="S12"/>
  <c r="L13"/>
  <c r="V13"/>
  <c r="L14"/>
  <c r="V14"/>
  <c r="L15"/>
  <c r="V15"/>
  <c r="L16"/>
  <c r="L17"/>
  <c r="L18"/>
  <c r="L19"/>
  <c r="L20"/>
  <c r="L21"/>
  <c r="L22"/>
  <c r="S23"/>
  <c r="F24"/>
  <c r="S24"/>
  <c r="F25"/>
  <c r="S26"/>
  <c r="S27"/>
  <c r="S28"/>
  <c r="S29"/>
  <c r="Q1899" i="43"/>
  <c r="O1899"/>
  <c r="M1899"/>
  <c r="K1899"/>
  <c r="P1898"/>
  <c r="N1898"/>
  <c r="R1897"/>
  <c r="P1897"/>
  <c r="P1896"/>
  <c r="N1896"/>
  <c r="P1895"/>
  <c r="N1895"/>
  <c r="P1894"/>
  <c r="N1894"/>
  <c r="P1893"/>
  <c r="N1893"/>
  <c r="P1892"/>
  <c r="N1892"/>
  <c r="P1891"/>
  <c r="L1891"/>
  <c r="N1890"/>
  <c r="L1890"/>
  <c r="P1889"/>
  <c r="N1889"/>
  <c r="L1889"/>
  <c r="P1888"/>
  <c r="N1888"/>
  <c r="R1888" s="1"/>
  <c r="P1887"/>
  <c r="N1887"/>
  <c r="P1886"/>
  <c r="N1886"/>
  <c r="P1885"/>
  <c r="N1885"/>
  <c r="R1885" s="1"/>
  <c r="P1884"/>
  <c r="N1884"/>
  <c r="R1884" s="1"/>
  <c r="P1883"/>
  <c r="N1883"/>
  <c r="R1883" s="1"/>
  <c r="L1883"/>
  <c r="P1882"/>
  <c r="N1882"/>
  <c r="P1881"/>
  <c r="N1881"/>
  <c r="P1880"/>
  <c r="N1880"/>
  <c r="P1879"/>
  <c r="N1879"/>
  <c r="U1878"/>
  <c r="T1878" s="1"/>
  <c r="P1878"/>
  <c r="N1878"/>
  <c r="R1878" s="1"/>
  <c r="P1877"/>
  <c r="N1877"/>
  <c r="P1876"/>
  <c r="N1876"/>
  <c r="L1876"/>
  <c r="P1875"/>
  <c r="N1875"/>
  <c r="P1874"/>
  <c r="N1874"/>
  <c r="L1874"/>
  <c r="R1874" s="1"/>
  <c r="U1873"/>
  <c r="T1873"/>
  <c r="P1873"/>
  <c r="N1873"/>
  <c r="L1873"/>
  <c r="P1872"/>
  <c r="N1872"/>
  <c r="P1871"/>
  <c r="N1871"/>
  <c r="P1870"/>
  <c r="N1870"/>
  <c r="P1869"/>
  <c r="N1869"/>
  <c r="P1868"/>
  <c r="N1868"/>
  <c r="L1868"/>
  <c r="N1867"/>
  <c r="L1867"/>
  <c r="R1867" s="1"/>
  <c r="P1866"/>
  <c r="N1866"/>
  <c r="N1899" s="1"/>
  <c r="U1865"/>
  <c r="P1865"/>
  <c r="P1899" s="1"/>
  <c r="L1865"/>
  <c r="L1864"/>
  <c r="L1863"/>
  <c r="R1863" s="1"/>
  <c r="Q1856"/>
  <c r="O1856"/>
  <c r="O1857" s="1"/>
  <c r="M1856"/>
  <c r="K1856"/>
  <c r="P1855"/>
  <c r="N1855"/>
  <c r="P1854"/>
  <c r="N1854"/>
  <c r="P1853"/>
  <c r="N1853"/>
  <c r="P1852"/>
  <c r="N1852"/>
  <c r="P1851"/>
  <c r="N1851"/>
  <c r="P1850"/>
  <c r="N1850"/>
  <c r="P1849"/>
  <c r="N1849"/>
  <c r="P1848"/>
  <c r="N1848"/>
  <c r="L1848"/>
  <c r="P1847"/>
  <c r="N1847"/>
  <c r="L1847"/>
  <c r="P1846"/>
  <c r="N1846"/>
  <c r="L1846"/>
  <c r="P1845"/>
  <c r="N1845"/>
  <c r="P1844"/>
  <c r="N1844"/>
  <c r="U1843"/>
  <c r="V1840" s="1"/>
  <c r="P1843"/>
  <c r="N1843"/>
  <c r="P1842"/>
  <c r="N1842"/>
  <c r="P1841"/>
  <c r="N1841"/>
  <c r="P1840"/>
  <c r="N1840"/>
  <c r="L1840"/>
  <c r="R1840" s="1"/>
  <c r="P1839"/>
  <c r="N1839"/>
  <c r="P1838"/>
  <c r="N1838"/>
  <c r="P1837"/>
  <c r="N1837"/>
  <c r="T1836" s="1"/>
  <c r="P1836"/>
  <c r="N1836"/>
  <c r="U1835"/>
  <c r="T1835" s="1"/>
  <c r="P1835"/>
  <c r="N1835"/>
  <c r="P1834"/>
  <c r="N1834"/>
  <c r="P1833"/>
  <c r="N1833"/>
  <c r="L1833"/>
  <c r="P1832"/>
  <c r="N1832"/>
  <c r="P1831"/>
  <c r="N1831"/>
  <c r="L1831"/>
  <c r="U1830"/>
  <c r="T1830" s="1"/>
  <c r="P1830"/>
  <c r="N1830"/>
  <c r="L1830"/>
  <c r="P1829"/>
  <c r="N1829"/>
  <c r="P1828"/>
  <c r="N1828"/>
  <c r="P1827"/>
  <c r="N1827"/>
  <c r="P1826"/>
  <c r="N1826"/>
  <c r="P1825"/>
  <c r="N1825"/>
  <c r="L1825"/>
  <c r="R1825" s="1"/>
  <c r="N1824"/>
  <c r="L1824"/>
  <c r="R1824" s="1"/>
  <c r="P1823"/>
  <c r="N1823"/>
  <c r="R1823" s="1"/>
  <c r="P1822"/>
  <c r="N1822"/>
  <c r="L1822"/>
  <c r="N1821"/>
  <c r="L1821"/>
  <c r="N1820"/>
  <c r="N1856" s="1"/>
  <c r="L1820"/>
  <c r="O1813"/>
  <c r="M1813"/>
  <c r="K1813"/>
  <c r="R1812" s="1"/>
  <c r="P1812"/>
  <c r="Q1811"/>
  <c r="P1811"/>
  <c r="Q1810"/>
  <c r="P1810"/>
  <c r="P1809"/>
  <c r="P1808"/>
  <c r="N1808"/>
  <c r="P1807"/>
  <c r="Q1806"/>
  <c r="P1806"/>
  <c r="Q1805"/>
  <c r="P1805"/>
  <c r="N1805"/>
  <c r="L1805"/>
  <c r="Q1804"/>
  <c r="P1804"/>
  <c r="L1804"/>
  <c r="P1803"/>
  <c r="L1803"/>
  <c r="R1803" s="1"/>
  <c r="P1802"/>
  <c r="N1802"/>
  <c r="Q1801"/>
  <c r="P1801"/>
  <c r="U1800"/>
  <c r="P1800"/>
  <c r="N1800"/>
  <c r="P1799"/>
  <c r="R1798" s="1"/>
  <c r="P1798"/>
  <c r="P1797"/>
  <c r="L1797"/>
  <c r="P1796"/>
  <c r="R1795" s="1"/>
  <c r="P1795"/>
  <c r="P1794"/>
  <c r="P1793"/>
  <c r="U1792"/>
  <c r="T1792" s="1"/>
  <c r="R1792" s="1"/>
  <c r="P1792"/>
  <c r="P1791"/>
  <c r="P1790"/>
  <c r="N1790"/>
  <c r="R1790" s="1"/>
  <c r="L1790"/>
  <c r="P1789"/>
  <c r="P1788"/>
  <c r="L1788"/>
  <c r="R1788" s="1"/>
  <c r="U1787"/>
  <c r="T1787" s="1"/>
  <c r="P1787"/>
  <c r="N1787"/>
  <c r="L1787"/>
  <c r="P1786"/>
  <c r="P1785"/>
  <c r="P1784"/>
  <c r="Q1783"/>
  <c r="P1783"/>
  <c r="Q1782"/>
  <c r="P1782"/>
  <c r="L1782"/>
  <c r="N1781"/>
  <c r="L1781"/>
  <c r="R1780" s="1"/>
  <c r="P1780"/>
  <c r="Q1779"/>
  <c r="P1779"/>
  <c r="L1779"/>
  <c r="R1778" s="1"/>
  <c r="L1778"/>
  <c r="Q1777"/>
  <c r="Q1813" s="1"/>
  <c r="L1777"/>
  <c r="Q1769"/>
  <c r="O1769"/>
  <c r="M1769"/>
  <c r="K1769"/>
  <c r="P1768"/>
  <c r="P1767"/>
  <c r="P1766"/>
  <c r="P1765"/>
  <c r="N1765"/>
  <c r="P1764"/>
  <c r="P1763"/>
  <c r="P1762"/>
  <c r="L1762"/>
  <c r="P1761"/>
  <c r="L1761"/>
  <c r="P1760"/>
  <c r="L1760"/>
  <c r="P1759"/>
  <c r="N1759"/>
  <c r="U1758"/>
  <c r="P1758"/>
  <c r="P1757"/>
  <c r="N1757"/>
  <c r="P1756"/>
  <c r="V1755"/>
  <c r="P1755"/>
  <c r="P1754"/>
  <c r="L1754"/>
  <c r="P1753"/>
  <c r="P1752"/>
  <c r="P1751"/>
  <c r="U1750"/>
  <c r="T1750" s="1"/>
  <c r="P1750"/>
  <c r="P1749"/>
  <c r="P1748"/>
  <c r="N1748"/>
  <c r="L1748"/>
  <c r="P1747"/>
  <c r="P1746"/>
  <c r="L1746"/>
  <c r="U1745"/>
  <c r="T1745" s="1"/>
  <c r="P1745"/>
  <c r="L1745"/>
  <c r="P1744"/>
  <c r="P1743"/>
  <c r="P1742"/>
  <c r="P1741"/>
  <c r="P1740"/>
  <c r="L1740"/>
  <c r="N1739"/>
  <c r="L1739"/>
  <c r="P1738"/>
  <c r="P1737"/>
  <c r="L1737"/>
  <c r="L1736"/>
  <c r="L1735"/>
  <c r="O1728"/>
  <c r="M1728"/>
  <c r="K1728"/>
  <c r="P1727"/>
  <c r="P1726"/>
  <c r="P1725"/>
  <c r="N1725"/>
  <c r="P1724"/>
  <c r="P1723"/>
  <c r="N1723"/>
  <c r="P1722"/>
  <c r="L1722"/>
  <c r="P1721"/>
  <c r="L1721"/>
  <c r="P1720"/>
  <c r="L1720"/>
  <c r="P1719"/>
  <c r="N1719"/>
  <c r="P1718"/>
  <c r="N1718"/>
  <c r="U1717"/>
  <c r="P1717"/>
  <c r="N1717"/>
  <c r="P1716"/>
  <c r="P1715"/>
  <c r="V1714" s="1"/>
  <c r="P1714"/>
  <c r="L1714"/>
  <c r="P1713"/>
  <c r="P1712"/>
  <c r="P1711"/>
  <c r="P1710"/>
  <c r="U1709"/>
  <c r="T1709" s="1"/>
  <c r="P1709"/>
  <c r="P1708"/>
  <c r="P1707"/>
  <c r="N1707"/>
  <c r="L1707"/>
  <c r="P1706"/>
  <c r="P1705"/>
  <c r="N1705"/>
  <c r="L1705"/>
  <c r="U1704"/>
  <c r="T1704" s="1"/>
  <c r="P1704"/>
  <c r="L1704"/>
  <c r="P1703"/>
  <c r="P1702"/>
  <c r="P1701"/>
  <c r="P1700"/>
  <c r="P1699"/>
  <c r="L1699"/>
  <c r="L1698"/>
  <c r="Q1697"/>
  <c r="Q1728" s="1"/>
  <c r="P1697"/>
  <c r="P1696"/>
  <c r="L1696"/>
  <c r="L1695"/>
  <c r="L1694"/>
  <c r="R1694" s="1"/>
  <c r="Q1688"/>
  <c r="O1688"/>
  <c r="M1688"/>
  <c r="K1688"/>
  <c r="R1687" s="1"/>
  <c r="P1687"/>
  <c r="P1686"/>
  <c r="P1685"/>
  <c r="N1685"/>
  <c r="P1684"/>
  <c r="P1683"/>
  <c r="N1683"/>
  <c r="P1682"/>
  <c r="L1682"/>
  <c r="P1681"/>
  <c r="L1681"/>
  <c r="P1680"/>
  <c r="L1680"/>
  <c r="P1679"/>
  <c r="N1679"/>
  <c r="P1678"/>
  <c r="N1678"/>
  <c r="U1677"/>
  <c r="V1674" s="1"/>
  <c r="P1677"/>
  <c r="N1677"/>
  <c r="P1676"/>
  <c r="P1675"/>
  <c r="R1675" s="1"/>
  <c r="P1674"/>
  <c r="L1674"/>
  <c r="P1673"/>
  <c r="P1672"/>
  <c r="P1671"/>
  <c r="P1670"/>
  <c r="R1670" s="1"/>
  <c r="U1669"/>
  <c r="T1669" s="1"/>
  <c r="P1669"/>
  <c r="R1668" s="1"/>
  <c r="P1668"/>
  <c r="P1667"/>
  <c r="N1667"/>
  <c r="L1667"/>
  <c r="P1666"/>
  <c r="P1665"/>
  <c r="N1665"/>
  <c r="L1665"/>
  <c r="R1665" s="1"/>
  <c r="U1664"/>
  <c r="T1664" s="1"/>
  <c r="P1664"/>
  <c r="L1664"/>
  <c r="P1663"/>
  <c r="P1662"/>
  <c r="P1661"/>
  <c r="P1660"/>
  <c r="P1659"/>
  <c r="L1659"/>
  <c r="L1658"/>
  <c r="R1657" s="1"/>
  <c r="P1657"/>
  <c r="P1656"/>
  <c r="P1688" s="1"/>
  <c r="L1656"/>
  <c r="L1655"/>
  <c r="L1654"/>
  <c r="R1654" s="1"/>
  <c r="Q1647"/>
  <c r="M1647"/>
  <c r="K1647"/>
  <c r="P1646"/>
  <c r="P1645"/>
  <c r="O1644"/>
  <c r="P1644" s="1"/>
  <c r="N1644"/>
  <c r="O1643"/>
  <c r="P1643" s="1"/>
  <c r="P1642"/>
  <c r="N1642"/>
  <c r="P1641"/>
  <c r="L1641"/>
  <c r="O1640"/>
  <c r="P1640" s="1"/>
  <c r="L1640"/>
  <c r="P1639"/>
  <c r="L1639"/>
  <c r="P1638"/>
  <c r="N1638"/>
  <c r="P1637"/>
  <c r="N1637"/>
  <c r="U1636"/>
  <c r="P1636"/>
  <c r="N1636"/>
  <c r="P1635"/>
  <c r="P1634"/>
  <c r="V1633" s="1"/>
  <c r="P1633"/>
  <c r="L1633"/>
  <c r="P1632"/>
  <c r="P1631"/>
  <c r="P1630"/>
  <c r="P1629"/>
  <c r="U1628"/>
  <c r="T1628" s="1"/>
  <c r="P1628"/>
  <c r="O1627"/>
  <c r="P1627" s="1"/>
  <c r="P1626"/>
  <c r="N1626"/>
  <c r="L1626"/>
  <c r="P1625"/>
  <c r="P1624"/>
  <c r="N1624"/>
  <c r="L1624"/>
  <c r="U1623"/>
  <c r="T1623" s="1"/>
  <c r="P1623"/>
  <c r="L1623"/>
  <c r="P1622"/>
  <c r="P1621"/>
  <c r="P1620"/>
  <c r="R1620" s="1"/>
  <c r="P1619"/>
  <c r="P1618"/>
  <c r="L1618"/>
  <c r="R1617"/>
  <c r="L1617"/>
  <c r="P1616"/>
  <c r="O1616"/>
  <c r="P1615"/>
  <c r="L1615"/>
  <c r="L1614"/>
  <c r="L1613"/>
  <c r="R1613" s="1"/>
  <c r="Q1605"/>
  <c r="O1605"/>
  <c r="M1605"/>
  <c r="K1605"/>
  <c r="P1604"/>
  <c r="P1603"/>
  <c r="P1602"/>
  <c r="N1602"/>
  <c r="P1601"/>
  <c r="P1600"/>
  <c r="N1600"/>
  <c r="P1599"/>
  <c r="N1599"/>
  <c r="L1599"/>
  <c r="P1598"/>
  <c r="N1598"/>
  <c r="L1598"/>
  <c r="P1597"/>
  <c r="L1597"/>
  <c r="P1596"/>
  <c r="N1596"/>
  <c r="P1595"/>
  <c r="N1595"/>
  <c r="P1594"/>
  <c r="N1594"/>
  <c r="P1593"/>
  <c r="N1593"/>
  <c r="P1592"/>
  <c r="P1591"/>
  <c r="L1591"/>
  <c r="P1590"/>
  <c r="P1589"/>
  <c r="P1588"/>
  <c r="P1587"/>
  <c r="U1586"/>
  <c r="T1586" s="1"/>
  <c r="P1586"/>
  <c r="P1585"/>
  <c r="P1584"/>
  <c r="N1584"/>
  <c r="L1584"/>
  <c r="P1583"/>
  <c r="P1582"/>
  <c r="N1582"/>
  <c r="L1582"/>
  <c r="U1581"/>
  <c r="T1581" s="1"/>
  <c r="P1581"/>
  <c r="N1581"/>
  <c r="L1581"/>
  <c r="P1580"/>
  <c r="P1579"/>
  <c r="P1578"/>
  <c r="N1578"/>
  <c r="P1577"/>
  <c r="N1577"/>
  <c r="P1576"/>
  <c r="N1576"/>
  <c r="L1576"/>
  <c r="N1575"/>
  <c r="L1575"/>
  <c r="P1574"/>
  <c r="P1573"/>
  <c r="N1573"/>
  <c r="L1573"/>
  <c r="L1572"/>
  <c r="N1571"/>
  <c r="N1605" s="1"/>
  <c r="L1571"/>
  <c r="Q1563"/>
  <c r="O1563"/>
  <c r="M1563"/>
  <c r="K1563"/>
  <c r="P1562"/>
  <c r="R1561" s="1"/>
  <c r="P1561"/>
  <c r="P1560"/>
  <c r="N1560"/>
  <c r="P1559"/>
  <c r="P1558"/>
  <c r="N1558"/>
  <c r="P1557"/>
  <c r="L1557"/>
  <c r="P1556"/>
  <c r="L1556"/>
  <c r="P1555"/>
  <c r="L1555"/>
  <c r="P1554"/>
  <c r="N1554"/>
  <c r="P1553"/>
  <c r="N1553"/>
  <c r="P1552"/>
  <c r="N1552"/>
  <c r="P1551"/>
  <c r="P1550"/>
  <c r="P1549"/>
  <c r="L1549"/>
  <c r="P1548"/>
  <c r="P1547"/>
  <c r="P1546"/>
  <c r="U1545"/>
  <c r="T1545" s="1"/>
  <c r="P1545"/>
  <c r="P1544"/>
  <c r="P1543"/>
  <c r="P1542"/>
  <c r="N1542"/>
  <c r="L1542"/>
  <c r="P1541"/>
  <c r="U1540"/>
  <c r="T1540" s="1"/>
  <c r="P1540"/>
  <c r="L1540"/>
  <c r="P1539"/>
  <c r="P1538"/>
  <c r="P1537"/>
  <c r="P1536"/>
  <c r="R1536" s="1"/>
  <c r="P1535"/>
  <c r="L1535"/>
  <c r="N1534"/>
  <c r="L1534"/>
  <c r="P1533"/>
  <c r="P1532"/>
  <c r="P1563" s="1"/>
  <c r="N1532"/>
  <c r="L1532"/>
  <c r="R1532" s="1"/>
  <c r="L1531"/>
  <c r="R1531" s="1"/>
  <c r="L1530"/>
  <c r="L1563" s="1"/>
  <c r="Q1523"/>
  <c r="O1523"/>
  <c r="M1523"/>
  <c r="K1523"/>
  <c r="P1522"/>
  <c r="N1522"/>
  <c r="P1521"/>
  <c r="P1520"/>
  <c r="N1520"/>
  <c r="P1519"/>
  <c r="L1519"/>
  <c r="P1518"/>
  <c r="L1518"/>
  <c r="P1517"/>
  <c r="L1517"/>
  <c r="P1516"/>
  <c r="N1516"/>
  <c r="P1515"/>
  <c r="N1515"/>
  <c r="P1514"/>
  <c r="N1514"/>
  <c r="P1513"/>
  <c r="P1512"/>
  <c r="P1511"/>
  <c r="N1511"/>
  <c r="L1511"/>
  <c r="P1510"/>
  <c r="P1509"/>
  <c r="P1508"/>
  <c r="U1507"/>
  <c r="T1507" s="1"/>
  <c r="P1507"/>
  <c r="P1506"/>
  <c r="P1505"/>
  <c r="P1504"/>
  <c r="N1504"/>
  <c r="L1504"/>
  <c r="P1503"/>
  <c r="U1502"/>
  <c r="T1502" s="1"/>
  <c r="P1502"/>
  <c r="N1502"/>
  <c r="L1502"/>
  <c r="P1501"/>
  <c r="P1500"/>
  <c r="P1499"/>
  <c r="P1498"/>
  <c r="N1498"/>
  <c r="P1497"/>
  <c r="N1497"/>
  <c r="L1497"/>
  <c r="N1496"/>
  <c r="L1496"/>
  <c r="P1495"/>
  <c r="P1494"/>
  <c r="N1494"/>
  <c r="L1494"/>
  <c r="L1493"/>
  <c r="L1492"/>
  <c r="Q1485"/>
  <c r="O1485"/>
  <c r="M1485"/>
  <c r="K1485"/>
  <c r="P1484"/>
  <c r="N1484"/>
  <c r="P1483"/>
  <c r="P1482"/>
  <c r="N1482"/>
  <c r="P1481"/>
  <c r="L1481"/>
  <c r="P1480"/>
  <c r="L1480"/>
  <c r="P1479"/>
  <c r="L1479"/>
  <c r="P1478"/>
  <c r="N1478"/>
  <c r="P1477"/>
  <c r="N1477"/>
  <c r="N1476"/>
  <c r="P1475"/>
  <c r="P1474"/>
  <c r="P1473"/>
  <c r="N1473"/>
  <c r="L1473"/>
  <c r="P1472"/>
  <c r="P1471"/>
  <c r="P1470"/>
  <c r="U1469"/>
  <c r="T1469" s="1"/>
  <c r="P1469"/>
  <c r="P1468"/>
  <c r="P1467"/>
  <c r="P1466"/>
  <c r="N1466"/>
  <c r="L1466"/>
  <c r="P1465"/>
  <c r="U1464"/>
  <c r="T1464" s="1"/>
  <c r="P1464"/>
  <c r="N1464"/>
  <c r="L1464"/>
  <c r="P1463"/>
  <c r="P1462"/>
  <c r="P1461"/>
  <c r="P1460"/>
  <c r="N1460"/>
  <c r="P1459"/>
  <c r="N1459"/>
  <c r="L1459"/>
  <c r="N1458"/>
  <c r="L1458"/>
  <c r="P1457"/>
  <c r="P1456"/>
  <c r="N1456"/>
  <c r="L1456"/>
  <c r="L1455"/>
  <c r="L1454"/>
  <c r="R1454" s="1"/>
  <c r="Q1447"/>
  <c r="O1447"/>
  <c r="M1447"/>
  <c r="K1447"/>
  <c r="P1446"/>
  <c r="N1446"/>
  <c r="P1445"/>
  <c r="P1444"/>
  <c r="N1444"/>
  <c r="P1443"/>
  <c r="L1443"/>
  <c r="P1442"/>
  <c r="L1442"/>
  <c r="P1441"/>
  <c r="L1441"/>
  <c r="P1440"/>
  <c r="N1440"/>
  <c r="P1439"/>
  <c r="N1439"/>
  <c r="N1438"/>
  <c r="P1437"/>
  <c r="P1436"/>
  <c r="P1435"/>
  <c r="N1435"/>
  <c r="L1435"/>
  <c r="P1434"/>
  <c r="P1433"/>
  <c r="P1432"/>
  <c r="U1431"/>
  <c r="T1431" s="1"/>
  <c r="P1431"/>
  <c r="P1430"/>
  <c r="P1429"/>
  <c r="P1428"/>
  <c r="N1428"/>
  <c r="L1428"/>
  <c r="P1427"/>
  <c r="U1426"/>
  <c r="T1426" s="1"/>
  <c r="P1426"/>
  <c r="N1426"/>
  <c r="L1426"/>
  <c r="P1425"/>
  <c r="P1424"/>
  <c r="P1423"/>
  <c r="P1422"/>
  <c r="N1422"/>
  <c r="P1421"/>
  <c r="N1421"/>
  <c r="L1421"/>
  <c r="N1420"/>
  <c r="L1420"/>
  <c r="P1419"/>
  <c r="P1418"/>
  <c r="N1418"/>
  <c r="L1418"/>
  <c r="L1417"/>
  <c r="L1416"/>
  <c r="R1416" s="1"/>
  <c r="T1409"/>
  <c r="Q1409"/>
  <c r="K1409"/>
  <c r="O1408"/>
  <c r="P1408" s="1"/>
  <c r="N1408"/>
  <c r="O1407"/>
  <c r="P1407" s="1"/>
  <c r="P1406"/>
  <c r="M1406"/>
  <c r="N1406" s="1"/>
  <c r="O1405"/>
  <c r="M1405"/>
  <c r="L1405"/>
  <c r="O1404"/>
  <c r="P1404" s="1"/>
  <c r="L1404"/>
  <c r="O1403"/>
  <c r="P1403" s="1"/>
  <c r="L1403"/>
  <c r="O1402"/>
  <c r="P1402" s="1"/>
  <c r="N1402"/>
  <c r="V1401"/>
  <c r="O1401"/>
  <c r="P1401" s="1"/>
  <c r="N1401"/>
  <c r="N1400"/>
  <c r="O1399"/>
  <c r="O1398"/>
  <c r="P1398" s="1"/>
  <c r="S1397"/>
  <c r="O1397"/>
  <c r="M1397"/>
  <c r="L1397"/>
  <c r="O1396"/>
  <c r="O1395"/>
  <c r="O1394"/>
  <c r="P1394" s="1"/>
  <c r="V1393"/>
  <c r="U1393"/>
  <c r="P1393"/>
  <c r="O1392"/>
  <c r="P1391"/>
  <c r="V1390"/>
  <c r="P1390"/>
  <c r="M1390"/>
  <c r="N1390" s="1"/>
  <c r="L1390"/>
  <c r="O1389"/>
  <c r="P1389" s="1"/>
  <c r="P1388"/>
  <c r="M1388"/>
  <c r="N1388" s="1"/>
  <c r="L1388"/>
  <c r="O1387"/>
  <c r="P1387" s="1"/>
  <c r="O1386"/>
  <c r="P1385"/>
  <c r="O1384"/>
  <c r="P1384" s="1"/>
  <c r="M1384"/>
  <c r="P1383"/>
  <c r="M1383"/>
  <c r="L1383"/>
  <c r="M1382"/>
  <c r="N1382" s="1"/>
  <c r="L1382"/>
  <c r="P1381"/>
  <c r="O1380"/>
  <c r="N1380"/>
  <c r="L1380"/>
  <c r="L1379"/>
  <c r="L1378"/>
  <c r="T1373"/>
  <c r="Q1373"/>
  <c r="O1373"/>
  <c r="M1373"/>
  <c r="K1373"/>
  <c r="P1372"/>
  <c r="N1372"/>
  <c r="P1371"/>
  <c r="P1370"/>
  <c r="N1369"/>
  <c r="L1369"/>
  <c r="P1368"/>
  <c r="L1368"/>
  <c r="P1367"/>
  <c r="L1367"/>
  <c r="P1366"/>
  <c r="N1366"/>
  <c r="P1365"/>
  <c r="N1365"/>
  <c r="N1364"/>
  <c r="P1363"/>
  <c r="P1362"/>
  <c r="L1361"/>
  <c r="P1360"/>
  <c r="P1359"/>
  <c r="P1358"/>
  <c r="P1357"/>
  <c r="P1356"/>
  <c r="P1355"/>
  <c r="V1354"/>
  <c r="P1354"/>
  <c r="N1354"/>
  <c r="L1354"/>
  <c r="P1353"/>
  <c r="P1352"/>
  <c r="N1352"/>
  <c r="L1352"/>
  <c r="P1351"/>
  <c r="P1350"/>
  <c r="P1349"/>
  <c r="P1348"/>
  <c r="P1347"/>
  <c r="L1347"/>
  <c r="N1346"/>
  <c r="L1346"/>
  <c r="P1345"/>
  <c r="P1344"/>
  <c r="N1344"/>
  <c r="L1344"/>
  <c r="L1343"/>
  <c r="N1342"/>
  <c r="L1342"/>
  <c r="T1337"/>
  <c r="Q1337"/>
  <c r="O1337"/>
  <c r="M1337"/>
  <c r="K1337"/>
  <c r="P1336"/>
  <c r="N1336"/>
  <c r="P1335"/>
  <c r="P1334"/>
  <c r="N1333"/>
  <c r="L1333"/>
  <c r="P1332"/>
  <c r="L1332"/>
  <c r="P1331"/>
  <c r="L1331"/>
  <c r="Y18" i="1" l="1"/>
  <c r="Y19"/>
  <c r="Y16"/>
  <c r="Y17"/>
  <c r="Y23"/>
  <c r="R1342" i="43"/>
  <c r="R1348"/>
  <c r="R1350"/>
  <c r="R1355"/>
  <c r="R1357"/>
  <c r="R1359"/>
  <c r="R1361"/>
  <c r="R1363"/>
  <c r="R1370"/>
  <c r="L1409"/>
  <c r="N1383"/>
  <c r="R1383" s="1"/>
  <c r="R1391"/>
  <c r="R1428"/>
  <c r="R1437"/>
  <c r="R1445"/>
  <c r="P1485"/>
  <c r="R1457"/>
  <c r="R1466"/>
  <c r="R1475"/>
  <c r="N1563"/>
  <c r="R1563" s="1"/>
  <c r="O1647"/>
  <c r="N1647" s="1"/>
  <c r="N1397"/>
  <c r="R1403"/>
  <c r="R1408"/>
  <c r="R1422"/>
  <c r="P1647"/>
  <c r="R1483"/>
  <c r="L1523"/>
  <c r="P1523"/>
  <c r="R1495"/>
  <c r="R1504"/>
  <c r="R1513"/>
  <c r="R1515"/>
  <c r="R1516"/>
  <c r="R1517"/>
  <c r="R1518"/>
  <c r="R1519"/>
  <c r="R1520"/>
  <c r="R1538"/>
  <c r="R1544"/>
  <c r="R1577"/>
  <c r="R1582"/>
  <c r="R1585"/>
  <c r="R1590"/>
  <c r="R1599"/>
  <c r="R1601"/>
  <c r="R1624"/>
  <c r="R1634"/>
  <c r="R1637"/>
  <c r="R1638"/>
  <c r="R1640"/>
  <c r="R1644"/>
  <c r="P1728"/>
  <c r="R1698"/>
  <c r="R1705"/>
  <c r="R1709"/>
  <c r="R1712"/>
  <c r="R1718"/>
  <c r="R1719"/>
  <c r="R1720"/>
  <c r="R1721"/>
  <c r="R1722"/>
  <c r="R1723"/>
  <c r="R1726"/>
  <c r="L1769"/>
  <c r="N1769"/>
  <c r="R1746"/>
  <c r="R1750"/>
  <c r="R1753"/>
  <c r="R1758"/>
  <c r="R1766"/>
  <c r="P1813"/>
  <c r="L1856"/>
  <c r="P1856"/>
  <c r="P1857" s="1"/>
  <c r="R1847"/>
  <c r="Y127" i="1"/>
  <c r="Y14"/>
  <c r="Y12"/>
  <c r="Y15"/>
  <c r="Y13"/>
  <c r="Y11"/>
  <c r="Y130"/>
  <c r="R1352" i="43"/>
  <c r="R1559"/>
  <c r="R1674"/>
  <c r="R1768"/>
  <c r="R1785"/>
  <c r="R1791"/>
  <c r="R1804"/>
  <c r="R1805"/>
  <c r="R1822"/>
  <c r="R1826"/>
  <c r="R1830"/>
  <c r="R1846"/>
  <c r="R1848"/>
  <c r="R1864"/>
  <c r="R1868"/>
  <c r="R1869"/>
  <c r="R1873"/>
  <c r="T1879"/>
  <c r="U1880" s="1"/>
  <c r="R1880" s="1"/>
  <c r="R1891"/>
  <c r="R1892"/>
  <c r="R1893"/>
  <c r="R1894"/>
  <c r="R1331"/>
  <c r="R1335"/>
  <c r="R1343"/>
  <c r="P1373"/>
  <c r="R1368"/>
  <c r="R1369"/>
  <c r="R1378"/>
  <c r="R1379"/>
  <c r="O1409"/>
  <c r="R1381"/>
  <c r="R1385"/>
  <c r="W1400"/>
  <c r="W1401" s="1"/>
  <c r="R1401"/>
  <c r="R1404"/>
  <c r="R1421"/>
  <c r="R1424"/>
  <c r="R1426"/>
  <c r="R1429"/>
  <c r="R1431"/>
  <c r="R1440"/>
  <c r="R1441"/>
  <c r="R1442"/>
  <c r="R1443"/>
  <c r="R1444"/>
  <c r="R1456"/>
  <c r="R1459"/>
  <c r="R1460"/>
  <c r="R1462"/>
  <c r="R1464"/>
  <c r="R1467"/>
  <c r="R1469"/>
  <c r="R1472"/>
  <c r="R1478"/>
  <c r="R1479"/>
  <c r="R1480"/>
  <c r="R1481"/>
  <c r="R1482"/>
  <c r="R1494"/>
  <c r="R1497"/>
  <c r="R1498"/>
  <c r="R1500"/>
  <c r="R1502"/>
  <c r="R1505"/>
  <c r="R1507"/>
  <c r="R1510"/>
  <c r="R1521"/>
  <c r="R1542"/>
  <c r="R1551"/>
  <c r="R1572"/>
  <c r="P1605"/>
  <c r="R1576"/>
  <c r="R1579"/>
  <c r="R1581"/>
  <c r="T1582"/>
  <c r="R1584"/>
  <c r="R1592"/>
  <c r="R1595"/>
  <c r="R1596"/>
  <c r="R1597"/>
  <c r="R1598"/>
  <c r="R1600"/>
  <c r="R1603"/>
  <c r="R1614"/>
  <c r="R1618"/>
  <c r="R1621"/>
  <c r="R1626"/>
  <c r="R1632"/>
  <c r="V1635"/>
  <c r="R1641"/>
  <c r="R1642"/>
  <c r="R1646"/>
  <c r="R1655"/>
  <c r="R1659"/>
  <c r="R1661"/>
  <c r="R1663"/>
  <c r="T1665"/>
  <c r="U1666" s="1"/>
  <c r="R1666" s="1"/>
  <c r="R1667"/>
  <c r="T1670"/>
  <c r="U1671" s="1"/>
  <c r="R1671" s="1"/>
  <c r="R1672"/>
  <c r="R1678"/>
  <c r="R1679"/>
  <c r="R1680"/>
  <c r="R1683"/>
  <c r="R1695"/>
  <c r="R1700"/>
  <c r="R1702"/>
  <c r="R1707"/>
  <c r="R1735"/>
  <c r="P1769"/>
  <c r="R1742"/>
  <c r="R1744"/>
  <c r="R1748"/>
  <c r="R1755"/>
  <c r="R1756"/>
  <c r="R1759"/>
  <c r="R1760"/>
  <c r="R1761"/>
  <c r="R1764"/>
  <c r="V1394"/>
  <c r="R1394" s="1"/>
  <c r="P1395"/>
  <c r="R1395" s="1"/>
  <c r="R1332"/>
  <c r="R1336"/>
  <c r="R1334"/>
  <c r="R1344"/>
  <c r="R1345"/>
  <c r="R1346"/>
  <c r="R1347"/>
  <c r="R1349"/>
  <c r="R1351"/>
  <c r="R1353"/>
  <c r="R1356"/>
  <c r="R1358"/>
  <c r="R1360"/>
  <c r="R1362"/>
  <c r="R1364"/>
  <c r="R1365"/>
  <c r="R1371"/>
  <c r="R1372"/>
  <c r="L1373"/>
  <c r="N1373"/>
  <c r="R1373" s="1"/>
  <c r="P1380"/>
  <c r="M1409"/>
  <c r="R1382"/>
  <c r="N1384"/>
  <c r="N1409" s="1"/>
  <c r="P1386"/>
  <c r="R1389"/>
  <c r="R1390"/>
  <c r="P1392"/>
  <c r="R1393"/>
  <c r="N1447"/>
  <c r="R1856"/>
  <c r="P1396"/>
  <c r="R1396" s="1"/>
  <c r="R1398"/>
  <c r="P1399"/>
  <c r="R1399" s="1"/>
  <c r="R1402"/>
  <c r="R1417"/>
  <c r="R1418"/>
  <c r="R1434"/>
  <c r="R1435"/>
  <c r="R1333"/>
  <c r="R1354"/>
  <c r="R1366"/>
  <c r="R1367"/>
  <c r="R1380"/>
  <c r="R1386"/>
  <c r="R1387"/>
  <c r="R1388"/>
  <c r="R1392"/>
  <c r="T1432"/>
  <c r="R1432" s="1"/>
  <c r="R1400"/>
  <c r="R1406"/>
  <c r="R1407"/>
  <c r="R1419"/>
  <c r="R1420"/>
  <c r="R1423"/>
  <c r="R1425"/>
  <c r="T1427"/>
  <c r="R1427" s="1"/>
  <c r="R1430"/>
  <c r="U1433"/>
  <c r="R1433" s="1"/>
  <c r="R1436"/>
  <c r="R1438"/>
  <c r="R1439"/>
  <c r="P1447"/>
  <c r="R1455"/>
  <c r="R1461"/>
  <c r="R1463"/>
  <c r="T1465"/>
  <c r="R1465" s="1"/>
  <c r="R1468"/>
  <c r="R1473"/>
  <c r="R1474"/>
  <c r="R1476"/>
  <c r="R1477"/>
  <c r="R1492"/>
  <c r="R1493"/>
  <c r="R1499"/>
  <c r="R1501"/>
  <c r="T1503"/>
  <c r="R1503" s="1"/>
  <c r="R1506"/>
  <c r="R1511"/>
  <c r="R1512"/>
  <c r="R1530"/>
  <c r="R1533"/>
  <c r="R1534"/>
  <c r="R1537"/>
  <c r="R1539"/>
  <c r="R1540"/>
  <c r="R1543"/>
  <c r="R1545"/>
  <c r="T1546"/>
  <c r="R1546" s="1"/>
  <c r="R1548"/>
  <c r="R1549"/>
  <c r="R1550"/>
  <c r="R1554"/>
  <c r="R1555"/>
  <c r="R1556"/>
  <c r="R1557"/>
  <c r="R1558"/>
  <c r="R1562"/>
  <c r="R1573"/>
  <c r="R1574"/>
  <c r="R1575"/>
  <c r="R1578"/>
  <c r="R1580"/>
  <c r="U1583"/>
  <c r="R1583" s="1"/>
  <c r="R1586"/>
  <c r="T1587"/>
  <c r="R1587" s="1"/>
  <c r="R1589"/>
  <c r="R1604"/>
  <c r="R1616"/>
  <c r="R1619"/>
  <c r="R1622"/>
  <c r="R1623"/>
  <c r="T1624"/>
  <c r="R1628"/>
  <c r="T1629"/>
  <c r="R1629" s="1"/>
  <c r="R1631"/>
  <c r="R1635"/>
  <c r="R1645"/>
  <c r="L1647"/>
  <c r="R1660"/>
  <c r="R1662"/>
  <c r="R1669"/>
  <c r="R1673"/>
  <c r="V1676"/>
  <c r="R1676" s="1"/>
  <c r="R1677"/>
  <c r="R1684"/>
  <c r="R1685"/>
  <c r="R1686"/>
  <c r="L1688"/>
  <c r="N1688"/>
  <c r="R1697"/>
  <c r="R1701"/>
  <c r="R1703"/>
  <c r="R1704"/>
  <c r="T1705"/>
  <c r="R1708"/>
  <c r="R1713"/>
  <c r="R1714"/>
  <c r="R1715"/>
  <c r="R1724"/>
  <c r="R1725"/>
  <c r="R1727"/>
  <c r="N1728"/>
  <c r="R1736"/>
  <c r="R1737"/>
  <c r="R1738"/>
  <c r="R1739"/>
  <c r="R1740"/>
  <c r="R1741"/>
  <c r="R1743"/>
  <c r="T1746"/>
  <c r="R1749"/>
  <c r="V1757"/>
  <c r="R1763"/>
  <c r="R1767"/>
  <c r="R1779"/>
  <c r="R1786"/>
  <c r="R1796"/>
  <c r="V1797"/>
  <c r="R1797" s="1"/>
  <c r="V1799"/>
  <c r="R1799" s="1"/>
  <c r="R1800"/>
  <c r="R1801"/>
  <c r="R1802"/>
  <c r="R1807"/>
  <c r="R1808"/>
  <c r="R1809"/>
  <c r="R1810"/>
  <c r="R1811"/>
  <c r="L1813"/>
  <c r="R1827"/>
  <c r="R1828"/>
  <c r="R1833"/>
  <c r="R1834"/>
  <c r="R1835"/>
  <c r="R1841"/>
  <c r="V1842"/>
  <c r="R1842" s="1"/>
  <c r="R1843"/>
  <c r="R1844"/>
  <c r="R1845"/>
  <c r="R1852"/>
  <c r="R1853"/>
  <c r="R1854"/>
  <c r="R1855"/>
  <c r="R1858"/>
  <c r="R1866"/>
  <c r="R1876"/>
  <c r="R1877"/>
  <c r="R1882"/>
  <c r="R1886"/>
  <c r="R1887"/>
  <c r="R1895"/>
  <c r="R1896"/>
  <c r="R1898"/>
  <c r="R1446"/>
  <c r="L1447"/>
  <c r="R1458"/>
  <c r="T1470"/>
  <c r="R1470" s="1"/>
  <c r="R1484"/>
  <c r="L1485"/>
  <c r="N1485"/>
  <c r="R1496"/>
  <c r="T1508"/>
  <c r="R1508" s="1"/>
  <c r="R1514"/>
  <c r="R1522"/>
  <c r="N1523"/>
  <c r="R1535"/>
  <c r="T1541"/>
  <c r="R1541" s="1"/>
  <c r="U1547"/>
  <c r="R1547" s="1"/>
  <c r="R1552"/>
  <c r="R1553"/>
  <c r="R1560"/>
  <c r="R1571"/>
  <c r="U1588"/>
  <c r="R1588" s="1"/>
  <c r="R1591"/>
  <c r="R1593"/>
  <c r="R1594"/>
  <c r="R1602"/>
  <c r="L1605"/>
  <c r="R1615"/>
  <c r="U1625"/>
  <c r="R1625" s="1"/>
  <c r="R1627"/>
  <c r="U1630"/>
  <c r="R1630" s="1"/>
  <c r="R1633"/>
  <c r="R1636"/>
  <c r="R1639"/>
  <c r="R1643"/>
  <c r="R1656"/>
  <c r="R1664"/>
  <c r="R1681"/>
  <c r="R1682"/>
  <c r="R1696"/>
  <c r="R1699"/>
  <c r="U1706"/>
  <c r="R1706" s="1"/>
  <c r="T1710"/>
  <c r="R1710" s="1"/>
  <c r="V1716"/>
  <c r="R1716" s="1"/>
  <c r="R1717"/>
  <c r="L1728"/>
  <c r="R1745"/>
  <c r="U1747"/>
  <c r="R1747" s="1"/>
  <c r="T1751"/>
  <c r="R1751" s="1"/>
  <c r="R1754"/>
  <c r="R1757"/>
  <c r="R1762"/>
  <c r="R1765"/>
  <c r="R1777"/>
  <c r="R1781"/>
  <c r="R1782"/>
  <c r="R1783"/>
  <c r="R1787"/>
  <c r="T1788"/>
  <c r="U1789" s="1"/>
  <c r="R1789" s="1"/>
  <c r="T1793"/>
  <c r="R1793" s="1"/>
  <c r="R1806"/>
  <c r="N1813"/>
  <c r="R1820"/>
  <c r="R1821"/>
  <c r="R1829"/>
  <c r="T1831"/>
  <c r="R1831" s="1"/>
  <c r="R1836"/>
  <c r="U1837"/>
  <c r="R1837" s="1"/>
  <c r="R1838"/>
  <c r="R1839"/>
  <c r="R1849"/>
  <c r="R1850"/>
  <c r="R1851"/>
  <c r="R1865"/>
  <c r="R1870"/>
  <c r="R1871"/>
  <c r="R1872"/>
  <c r="T1874"/>
  <c r="U1875" s="1"/>
  <c r="R1875" s="1"/>
  <c r="R1879"/>
  <c r="R1881"/>
  <c r="R1889"/>
  <c r="R1890"/>
  <c r="L1899"/>
  <c r="R1899" s="1"/>
  <c r="R1901" s="1"/>
  <c r="P1900" s="1"/>
  <c r="O1900" s="1"/>
  <c r="Y97" i="1"/>
  <c r="Y42"/>
  <c r="Y41"/>
  <c r="Y62"/>
  <c r="Y90"/>
  <c r="Y3"/>
  <c r="Y65"/>
  <c r="Y74"/>
  <c r="Y118"/>
  <c r="Y108"/>
  <c r="Y36"/>
  <c r="Y35"/>
  <c r="Y72"/>
  <c r="Y66"/>
  <c r="Y85"/>
  <c r="Y107"/>
  <c r="Y126"/>
  <c r="Y101"/>
  <c r="Y121"/>
  <c r="Y45"/>
  <c r="Y34"/>
  <c r="Y33"/>
  <c r="Y32"/>
  <c r="Y31"/>
  <c r="Y30"/>
  <c r="Y29"/>
  <c r="Y28"/>
  <c r="Y10"/>
  <c r="Y39"/>
  <c r="Y7"/>
  <c r="Y6"/>
  <c r="Y47"/>
  <c r="Y70"/>
  <c r="Y77"/>
  <c r="R65" s="1"/>
  <c r="Y61"/>
  <c r="L49" s="1"/>
  <c r="L50" s="1"/>
  <c r="Y69"/>
  <c r="Y87"/>
  <c r="P75" s="1"/>
  <c r="Y89"/>
  <c r="Y103"/>
  <c r="Y111"/>
  <c r="Y122"/>
  <c r="Y84"/>
  <c r="Y98"/>
  <c r="Y104"/>
  <c r="Y117"/>
  <c r="Y125"/>
  <c r="Y44"/>
  <c r="Y37"/>
  <c r="Y43"/>
  <c r="Y40"/>
  <c r="Y38"/>
  <c r="Y9"/>
  <c r="Y5"/>
  <c r="Y8"/>
  <c r="Y4"/>
  <c r="Y46"/>
  <c r="Y63"/>
  <c r="Y67"/>
  <c r="Y71"/>
  <c r="Y75"/>
  <c r="Y78"/>
  <c r="Y60"/>
  <c r="Y64"/>
  <c r="Y68"/>
  <c r="Y73"/>
  <c r="Y76"/>
  <c r="Y83"/>
  <c r="Y86"/>
  <c r="Y91"/>
  <c r="U79" s="1"/>
  <c r="Y100"/>
  <c r="S88" s="1"/>
  <c r="Y106"/>
  <c r="Y109"/>
  <c r="Y116"/>
  <c r="Y120"/>
  <c r="Y124"/>
  <c r="Y128"/>
  <c r="Y88"/>
  <c r="Y92"/>
  <c r="U80" s="1"/>
  <c r="Y99"/>
  <c r="Y102"/>
  <c r="Y105"/>
  <c r="Y110"/>
  <c r="Y119"/>
  <c r="Y123"/>
  <c r="O108" i="32"/>
  <c r="P107"/>
  <c r="P1330" i="43"/>
  <c r="N1330"/>
  <c r="P1329"/>
  <c r="N1329"/>
  <c r="N1328"/>
  <c r="P1327"/>
  <c r="P1326"/>
  <c r="L1325"/>
  <c r="R1325" s="1"/>
  <c r="P1324"/>
  <c r="P1323"/>
  <c r="P1322"/>
  <c r="P1321"/>
  <c r="P1320"/>
  <c r="Y24" i="1" l="1"/>
  <c r="AF25" s="1"/>
  <c r="R32" s="1"/>
  <c r="R1769" i="43"/>
  <c r="R1771" s="1"/>
  <c r="O1771" s="1"/>
  <c r="R1565"/>
  <c r="R1321"/>
  <c r="R1323"/>
  <c r="R1326"/>
  <c r="R1328"/>
  <c r="R1330"/>
  <c r="R1688"/>
  <c r="R1690" s="1"/>
  <c r="O1690" s="1"/>
  <c r="R1605"/>
  <c r="R1607" s="1"/>
  <c r="R1647"/>
  <c r="R1649" s="1"/>
  <c r="O1649" s="1"/>
  <c r="U1428"/>
  <c r="R1384"/>
  <c r="P77" i="1"/>
  <c r="P76"/>
  <c r="U1832" i="43"/>
  <c r="R1832" s="1"/>
  <c r="U1752"/>
  <c r="R1752" s="1"/>
  <c r="R1329"/>
  <c r="R1320"/>
  <c r="R1322"/>
  <c r="R1324"/>
  <c r="R1327"/>
  <c r="U1542"/>
  <c r="U1794"/>
  <c r="R1794" s="1"/>
  <c r="U1711"/>
  <c r="R1711" s="1"/>
  <c r="U1509"/>
  <c r="R1509" s="1"/>
  <c r="U1504"/>
  <c r="U1471"/>
  <c r="R1471" s="1"/>
  <c r="U1466"/>
  <c r="Y79" i="1"/>
  <c r="AF80" s="1"/>
  <c r="N33" s="1"/>
  <c r="F37" i="46" s="1"/>
  <c r="Y48" i="1"/>
  <c r="AF49" s="1"/>
  <c r="N32" s="1"/>
  <c r="Y131"/>
  <c r="AF132" s="1"/>
  <c r="R34" s="1"/>
  <c r="Y93"/>
  <c r="AF94" s="1"/>
  <c r="R33" s="1"/>
  <c r="Y112"/>
  <c r="AF113" s="1"/>
  <c r="N34" s="1"/>
  <c r="O124" i="32"/>
  <c r="P108"/>
  <c r="V1319" i="43"/>
  <c r="P1319"/>
  <c r="N1319"/>
  <c r="L1319"/>
  <c r="P1318"/>
  <c r="P1317"/>
  <c r="N1317"/>
  <c r="L1317"/>
  <c r="P1316"/>
  <c r="P1315"/>
  <c r="P1314"/>
  <c r="P1313"/>
  <c r="P1312"/>
  <c r="L1312"/>
  <c r="N1311"/>
  <c r="L1311"/>
  <c r="P1310"/>
  <c r="P1309"/>
  <c r="N1309"/>
  <c r="L1309"/>
  <c r="L1308"/>
  <c r="R1308" s="1"/>
  <c r="N1307"/>
  <c r="L1307"/>
  <c r="T1302"/>
  <c r="L1337" l="1"/>
  <c r="N1337"/>
  <c r="R1309"/>
  <c r="P1337"/>
  <c r="R1310"/>
  <c r="R1312"/>
  <c r="R1314"/>
  <c r="R1316"/>
  <c r="R1319"/>
  <c r="R1307"/>
  <c r="R1311"/>
  <c r="R1313"/>
  <c r="R1315"/>
  <c r="R1317"/>
  <c r="R1318"/>
  <c r="P124" i="32"/>
  <c r="O109"/>
  <c r="Q1302" i="43"/>
  <c r="O1302"/>
  <c r="M1302"/>
  <c r="K1302"/>
  <c r="P1301"/>
  <c r="N1301"/>
  <c r="P1300"/>
  <c r="R1337" l="1"/>
  <c r="R1300"/>
  <c r="R1301"/>
  <c r="P109" i="32"/>
  <c r="O110"/>
  <c r="N1299" i="43"/>
  <c r="L1299"/>
  <c r="P1298"/>
  <c r="L1298"/>
  <c r="P1297"/>
  <c r="L1297"/>
  <c r="P1296"/>
  <c r="N1296"/>
  <c r="P1295"/>
  <c r="N1295"/>
  <c r="N1294"/>
  <c r="P1293"/>
  <c r="P1292"/>
  <c r="L1291"/>
  <c r="P1290"/>
  <c r="P1289"/>
  <c r="P1288"/>
  <c r="P1287"/>
  <c r="R1293" l="1"/>
  <c r="R1288"/>
  <c r="R1290"/>
  <c r="R1296"/>
  <c r="R1299"/>
  <c r="R1287"/>
  <c r="R1289"/>
  <c r="R1291"/>
  <c r="R1292"/>
  <c r="R1294"/>
  <c r="R1295"/>
  <c r="R1297"/>
  <c r="R1298"/>
  <c r="O130" i="32"/>
  <c r="P110"/>
  <c r="V1286" i="43"/>
  <c r="P1286"/>
  <c r="P1285"/>
  <c r="N1285"/>
  <c r="L1285"/>
  <c r="P1284"/>
  <c r="R1285" l="1"/>
  <c r="R1286"/>
  <c r="R1284"/>
  <c r="O131" i="32"/>
  <c r="P130"/>
  <c r="V1283" i="43"/>
  <c r="P1283"/>
  <c r="N1283"/>
  <c r="L1283"/>
  <c r="P1282"/>
  <c r="P1281"/>
  <c r="P1280"/>
  <c r="P1279"/>
  <c r="P1278"/>
  <c r="L1278"/>
  <c r="N1277"/>
  <c r="L1277"/>
  <c r="P1276"/>
  <c r="P1275"/>
  <c r="N1275"/>
  <c r="L1275"/>
  <c r="L1274"/>
  <c r="N1273"/>
  <c r="L1273"/>
  <c r="Q1268"/>
  <c r="O1268"/>
  <c r="N1302" l="1"/>
  <c r="R1274"/>
  <c r="P1302"/>
  <c r="R1276"/>
  <c r="R1278"/>
  <c r="R1275"/>
  <c r="R1277"/>
  <c r="R1280"/>
  <c r="R1282"/>
  <c r="L1302"/>
  <c r="R1273"/>
  <c r="R1279"/>
  <c r="R1281"/>
  <c r="R1283"/>
  <c r="P131" i="32"/>
  <c r="O132"/>
  <c r="M1268" i="43"/>
  <c r="K1268"/>
  <c r="P1267"/>
  <c r="R1302" l="1"/>
  <c r="R1267"/>
  <c r="O133" i="32"/>
  <c r="P132"/>
  <c r="P1266" i="43"/>
  <c r="N1266"/>
  <c r="N1265"/>
  <c r="L1265"/>
  <c r="P1264"/>
  <c r="N1264"/>
  <c r="N1263"/>
  <c r="P1262"/>
  <c r="L1262"/>
  <c r="P1261"/>
  <c r="P1260"/>
  <c r="P1259"/>
  <c r="R1258"/>
  <c r="P1257"/>
  <c r="P1256"/>
  <c r="P1255"/>
  <c r="P1254"/>
  <c r="P1253"/>
  <c r="P1252"/>
  <c r="N1252"/>
  <c r="L1252"/>
  <c r="W1251"/>
  <c r="P1251"/>
  <c r="P1250"/>
  <c r="N1250"/>
  <c r="L1250"/>
  <c r="P1249"/>
  <c r="W1248"/>
  <c r="P1248"/>
  <c r="P1247"/>
  <c r="P1246"/>
  <c r="N1245"/>
  <c r="L1245"/>
  <c r="P1244"/>
  <c r="P1243"/>
  <c r="N1243"/>
  <c r="L1243"/>
  <c r="R1242"/>
  <c r="N1241"/>
  <c r="O1236"/>
  <c r="M1236"/>
  <c r="K1236"/>
  <c r="P1235"/>
  <c r="N1234"/>
  <c r="L1234"/>
  <c r="N1233"/>
  <c r="R1232" s="1"/>
  <c r="N1232"/>
  <c r="R1243" l="1"/>
  <c r="R1246"/>
  <c r="R1248"/>
  <c r="R1249"/>
  <c r="R1254"/>
  <c r="R1256"/>
  <c r="R1260"/>
  <c r="R1266"/>
  <c r="N1268"/>
  <c r="R1244"/>
  <c r="R1252"/>
  <c r="R1245"/>
  <c r="R1233"/>
  <c r="R1234"/>
  <c r="R1235"/>
  <c r="R1241"/>
  <c r="L1268"/>
  <c r="P1268"/>
  <c r="R1247"/>
  <c r="R1250"/>
  <c r="R1251"/>
  <c r="R1253"/>
  <c r="R1255"/>
  <c r="R1257"/>
  <c r="R1259"/>
  <c r="R1261"/>
  <c r="R1262"/>
  <c r="R1263"/>
  <c r="R1264"/>
  <c r="R1265"/>
  <c r="P133" i="32"/>
  <c r="O111"/>
  <c r="P1231" i="43"/>
  <c r="L1231"/>
  <c r="P1230"/>
  <c r="Q1229"/>
  <c r="P1229"/>
  <c r="P1228"/>
  <c r="R1227"/>
  <c r="P1226"/>
  <c r="P1225"/>
  <c r="P1224"/>
  <c r="P1223"/>
  <c r="P1222"/>
  <c r="P1221"/>
  <c r="N1221"/>
  <c r="L1221"/>
  <c r="W1220"/>
  <c r="P1220"/>
  <c r="N1219"/>
  <c r="L1219"/>
  <c r="P1218"/>
  <c r="W1217"/>
  <c r="P1217"/>
  <c r="P1216"/>
  <c r="P1215"/>
  <c r="N1214"/>
  <c r="L1214"/>
  <c r="P1213"/>
  <c r="P1212"/>
  <c r="N1212"/>
  <c r="L1212"/>
  <c r="R1211"/>
  <c r="N1210"/>
  <c r="R1212" l="1"/>
  <c r="R1215"/>
  <c r="R1217"/>
  <c r="R1218"/>
  <c r="R1222"/>
  <c r="R1224"/>
  <c r="R1226"/>
  <c r="R1228"/>
  <c r="L1236"/>
  <c r="N1236"/>
  <c r="R1213"/>
  <c r="R1220"/>
  <c r="R1221"/>
  <c r="R1230"/>
  <c r="R1214"/>
  <c r="R1210"/>
  <c r="P1236"/>
  <c r="R1216"/>
  <c r="R1223"/>
  <c r="R1225"/>
  <c r="R1219"/>
  <c r="R1229"/>
  <c r="R1231"/>
  <c r="R1268"/>
  <c r="O125" i="32"/>
  <c r="P111"/>
  <c r="Q1205" i="43"/>
  <c r="O1205"/>
  <c r="M1205"/>
  <c r="K1205"/>
  <c r="P1204"/>
  <c r="N1203"/>
  <c r="L1203"/>
  <c r="N1202"/>
  <c r="N1201"/>
  <c r="P1200"/>
  <c r="L1200"/>
  <c r="P1199"/>
  <c r="P1198"/>
  <c r="P1197"/>
  <c r="R1201" l="1"/>
  <c r="R1204"/>
  <c r="R1197"/>
  <c r="R1199"/>
  <c r="R1200"/>
  <c r="R1198"/>
  <c r="R1202"/>
  <c r="R1203"/>
  <c r="P125" i="32"/>
  <c r="O112"/>
  <c r="R1196" i="43"/>
  <c r="P1195"/>
  <c r="P1194"/>
  <c r="P1193"/>
  <c r="P1192"/>
  <c r="P1191"/>
  <c r="P1190"/>
  <c r="N1190"/>
  <c r="L1190"/>
  <c r="W1189"/>
  <c r="P1189"/>
  <c r="N1188"/>
  <c r="L1188"/>
  <c r="P1187"/>
  <c r="R1191" l="1"/>
  <c r="R1193"/>
  <c r="R1195"/>
  <c r="R1189"/>
  <c r="R1190"/>
  <c r="R1187"/>
  <c r="R1188"/>
  <c r="R1192"/>
  <c r="R1194"/>
  <c r="P112" i="32"/>
  <c r="O113"/>
  <c r="W1186" i="43"/>
  <c r="P1186"/>
  <c r="P1185"/>
  <c r="P1184"/>
  <c r="R1184" l="1"/>
  <c r="R1186"/>
  <c r="R1185"/>
  <c r="O114" i="32"/>
  <c r="P113"/>
  <c r="N1183" i="43"/>
  <c r="L1183"/>
  <c r="P1182"/>
  <c r="P1181"/>
  <c r="N1181"/>
  <c r="L1181"/>
  <c r="L1205" s="1"/>
  <c r="R1180"/>
  <c r="N1179"/>
  <c r="N1205" s="1"/>
  <c r="R1174"/>
  <c r="R1173"/>
  <c r="R1172"/>
  <c r="R1171"/>
  <c r="R1170"/>
  <c r="P1205" l="1"/>
  <c r="R1205" s="1"/>
  <c r="R1179"/>
  <c r="R1181"/>
  <c r="R1182"/>
  <c r="R1183"/>
  <c r="O115" i="32"/>
  <c r="P114"/>
  <c r="N1168" i="43"/>
  <c r="M1168"/>
  <c r="L1168"/>
  <c r="R1166"/>
  <c r="O1166"/>
  <c r="R1165"/>
  <c r="O1165"/>
  <c r="P1165" l="1"/>
  <c r="P1166"/>
  <c r="O126" i="32"/>
  <c r="P115"/>
  <c r="R1164" i="43"/>
  <c r="O1164"/>
  <c r="R1163"/>
  <c r="O1163"/>
  <c r="R1162"/>
  <c r="O1162"/>
  <c r="R1161"/>
  <c r="O1161"/>
  <c r="R1160"/>
  <c r="O1160"/>
  <c r="R1159"/>
  <c r="O1159"/>
  <c r="R1158"/>
  <c r="O1158"/>
  <c r="R1157"/>
  <c r="O1157"/>
  <c r="R1156"/>
  <c r="O1156"/>
  <c r="R1155"/>
  <c r="O1155"/>
  <c r="R1154"/>
  <c r="O1154"/>
  <c r="R1153"/>
  <c r="O1153"/>
  <c r="R1152"/>
  <c r="O1152"/>
  <c r="R1151"/>
  <c r="O1151"/>
  <c r="R1150"/>
  <c r="O1150"/>
  <c r="R1149"/>
  <c r="P1149" s="1"/>
  <c r="O1149"/>
  <c r="O1168" s="1"/>
  <c r="P1150" l="1"/>
  <c r="P1151"/>
  <c r="P1152"/>
  <c r="P1153"/>
  <c r="P1154"/>
  <c r="P1155"/>
  <c r="P1156"/>
  <c r="P1157"/>
  <c r="P1158"/>
  <c r="P1159"/>
  <c r="P1160"/>
  <c r="P1161"/>
  <c r="P1162"/>
  <c r="P1163"/>
  <c r="P1164"/>
  <c r="P126" i="32"/>
  <c r="O116"/>
  <c r="P1148" i="43"/>
  <c r="P1168" s="1"/>
  <c r="P116" i="32" l="1"/>
  <c r="O117"/>
  <c r="O118" l="1"/>
  <c r="P117"/>
  <c r="S1140" i="43"/>
  <c r="N1140"/>
  <c r="S1139"/>
  <c r="N1139"/>
  <c r="S1138"/>
  <c r="N1138"/>
  <c r="S1137"/>
  <c r="N1137"/>
  <c r="S1136"/>
  <c r="N1136"/>
  <c r="S1135"/>
  <c r="N1135"/>
  <c r="S1134"/>
  <c r="N1134"/>
  <c r="S1133"/>
  <c r="N1133"/>
  <c r="S1132"/>
  <c r="N1132"/>
  <c r="S1131"/>
  <c r="N1131"/>
  <c r="S1130"/>
  <c r="N1130"/>
  <c r="S1129"/>
  <c r="N1129"/>
  <c r="S1128"/>
  <c r="N1128"/>
  <c r="S1127"/>
  <c r="N1127"/>
  <c r="S1126"/>
  <c r="N1126"/>
  <c r="S1125"/>
  <c r="N1125"/>
  <c r="S1124"/>
  <c r="N1124"/>
  <c r="S1123"/>
  <c r="O134" i="32" l="1"/>
  <c r="P118"/>
  <c r="N1123" i="43"/>
  <c r="M1121"/>
  <c r="L1121"/>
  <c r="O135" i="32" l="1"/>
  <c r="P134"/>
  <c r="K1117" i="43"/>
  <c r="M1115"/>
  <c r="M1114"/>
  <c r="M1113"/>
  <c r="M1112"/>
  <c r="M1111"/>
  <c r="M1110"/>
  <c r="M1109"/>
  <c r="L1102"/>
  <c r="L1100"/>
  <c r="L1099"/>
  <c r="O1099" l="1"/>
  <c r="M1117"/>
  <c r="O1100"/>
  <c r="P135" i="32"/>
  <c r="O136"/>
  <c r="P136" l="1"/>
  <c r="O119"/>
  <c r="N1097" i="43"/>
  <c r="N1103" s="1"/>
  <c r="L1097"/>
  <c r="L1096"/>
  <c r="L1103" l="1"/>
  <c r="O1102" s="1"/>
  <c r="O1096"/>
  <c r="O1097"/>
  <c r="O137" i="32"/>
  <c r="P119"/>
  <c r="M1088" i="43"/>
  <c r="O1103" l="1"/>
  <c r="P137" i="32"/>
  <c r="O138"/>
  <c r="M1087" i="43"/>
  <c r="M1086"/>
  <c r="M1085"/>
  <c r="M1084"/>
  <c r="M1083"/>
  <c r="M1082"/>
  <c r="M1081"/>
  <c r="M1089" l="1"/>
  <c r="P138" i="32"/>
  <c r="O120"/>
  <c r="O139" l="1"/>
  <c r="P139" s="1"/>
  <c r="P120"/>
  <c r="N1073" i="43"/>
  <c r="N1072"/>
  <c r="N1071"/>
  <c r="N1070"/>
  <c r="N1069"/>
  <c r="N1068"/>
  <c r="N1067"/>
  <c r="N1066"/>
  <c r="N1074" l="1"/>
  <c r="N1060"/>
  <c r="N1059"/>
  <c r="N1058"/>
  <c r="N1057"/>
  <c r="N1056"/>
  <c r="N1055"/>
  <c r="N1054"/>
  <c r="N1053"/>
  <c r="H1046"/>
  <c r="H1045"/>
  <c r="H1023"/>
  <c r="H1021"/>
  <c r="H1016"/>
  <c r="H1013"/>
  <c r="H1011"/>
  <c r="H1008"/>
  <c r="D1001"/>
  <c r="H977"/>
  <c r="L976"/>
  <c r="L969"/>
  <c r="L968"/>
  <c r="L967"/>
  <c r="L966"/>
  <c r="H959"/>
  <c r="H957"/>
  <c r="H955"/>
  <c r="H953"/>
  <c r="H951"/>
  <c r="H949"/>
  <c r="L945"/>
  <c r="H945"/>
  <c r="H939"/>
  <c r="H938"/>
  <c r="H917"/>
  <c r="H913"/>
  <c r="H909"/>
  <c r="H905"/>
  <c r="H900"/>
  <c r="H894"/>
  <c r="H872"/>
  <c r="H867"/>
  <c r="H862"/>
  <c r="H856"/>
  <c r="E847"/>
  <c r="E846"/>
  <c r="H844"/>
  <c r="H843"/>
  <c r="H826"/>
  <c r="H824"/>
  <c r="H813"/>
  <c r="H781"/>
  <c r="H776"/>
  <c r="H771"/>
  <c r="H767"/>
  <c r="H762"/>
  <c r="H757"/>
  <c r="H752"/>
  <c r="H747"/>
  <c r="H743"/>
  <c r="H738"/>
  <c r="H734"/>
  <c r="H725"/>
  <c r="H713"/>
  <c r="H726" s="1"/>
  <c r="H701"/>
  <c r="H696"/>
  <c r="H693"/>
  <c r="H690"/>
  <c r="H702" s="1"/>
  <c r="H670"/>
  <c r="H666"/>
  <c r="H661"/>
  <c r="H656"/>
  <c r="H652"/>
  <c r="H648"/>
  <c r="H643"/>
  <c r="H640"/>
  <c r="H635"/>
  <c r="H633"/>
  <c r="H629"/>
  <c r="H625"/>
  <c r="H622"/>
  <c r="H617"/>
  <c r="H671" s="1"/>
  <c r="H610"/>
  <c r="H600"/>
  <c r="G611" s="1"/>
  <c r="H564"/>
  <c r="H563"/>
  <c r="F541"/>
  <c r="I517"/>
  <c r="G517"/>
  <c r="G516"/>
  <c r="I515"/>
  <c r="G515"/>
  <c r="H509"/>
  <c r="H500"/>
  <c r="H491"/>
  <c r="H481"/>
  <c r="H471"/>
  <c r="H459"/>
  <c r="H454"/>
  <c r="H443"/>
  <c r="H431"/>
  <c r="H420"/>
  <c r="H409"/>
  <c r="H399"/>
  <c r="H396"/>
  <c r="H393"/>
  <c r="H390"/>
  <c r="H387"/>
  <c r="H384"/>
  <c r="H381"/>
  <c r="H378"/>
  <c r="H375"/>
  <c r="M374"/>
  <c r="H372"/>
  <c r="G401" s="1"/>
  <c r="H363"/>
  <c r="H360"/>
  <c r="G365" s="1"/>
  <c r="H349"/>
  <c r="H347"/>
  <c r="G330"/>
  <c r="G329"/>
  <c r="G328"/>
  <c r="G327"/>
  <c r="G326"/>
  <c r="G325"/>
  <c r="G324"/>
  <c r="H313"/>
  <c r="H302"/>
  <c r="G315" s="1"/>
  <c r="C258"/>
  <c r="D257"/>
  <c r="G251"/>
  <c r="J230" s="1"/>
  <c r="J229"/>
  <c r="J226"/>
  <c r="I220"/>
  <c r="N216"/>
  <c r="I216"/>
  <c r="I217" s="1"/>
  <c r="E208"/>
  <c r="E204"/>
  <c r="E200"/>
  <c r="E197"/>
  <c r="E192"/>
  <c r="E188"/>
  <c r="E184"/>
  <c r="E180"/>
  <c r="E174"/>
  <c r="E171"/>
  <c r="E165"/>
  <c r="E160"/>
  <c r="G70"/>
  <c r="G65"/>
  <c r="G62"/>
  <c r="G58"/>
  <c r="G49"/>
  <c r="N1061" l="1"/>
  <c r="H962"/>
  <c r="M378"/>
  <c r="H782"/>
  <c r="H918"/>
  <c r="E209"/>
  <c r="G334"/>
  <c r="G511"/>
  <c r="D1003"/>
  <c r="G71"/>
  <c r="G351"/>
  <c r="H947"/>
  <c r="H960" s="1"/>
  <c r="H978" s="1"/>
  <c r="H1024"/>
  <c r="J217"/>
  <c r="J227"/>
  <c r="H827"/>
  <c r="A257" i="46"/>
  <c r="A258" s="1"/>
  <c r="H187" l="1"/>
  <c r="H188" s="1"/>
  <c r="H189" l="1"/>
  <c r="I184"/>
  <c r="L181"/>
  <c r="H180"/>
  <c r="H182" s="1"/>
  <c r="I186" s="1"/>
  <c r="K178"/>
  <c r="I188" s="1"/>
  <c r="I189" s="1"/>
  <c r="M168"/>
  <c r="M170" s="1"/>
  <c r="G158"/>
  <c r="G157"/>
  <c r="H156"/>
  <c r="H184" l="1"/>
  <c r="K137"/>
  <c r="K139" s="1"/>
  <c r="D130"/>
  <c r="E130" s="1"/>
  <c r="E129"/>
  <c r="M133" l="1"/>
  <c r="M128"/>
  <c r="I100" l="1"/>
  <c r="Q110"/>
  <c r="Q111" s="1"/>
  <c r="Q115" l="1"/>
  <c r="B83"/>
  <c r="J82"/>
  <c r="I82" s="1"/>
  <c r="B81"/>
  <c r="D80"/>
  <c r="J79" l="1"/>
  <c r="I79" s="1"/>
  <c r="D79" l="1"/>
  <c r="E77"/>
  <c r="J75"/>
  <c r="J76" s="1"/>
  <c r="I76" s="1"/>
  <c r="C75"/>
  <c r="K74"/>
  <c r="B74"/>
  <c r="Q73"/>
  <c r="R59" s="1"/>
  <c r="O73"/>
  <c r="Q72"/>
  <c r="N69"/>
  <c r="D69"/>
  <c r="B69"/>
  <c r="O68"/>
  <c r="D67"/>
  <c r="O71" l="1"/>
  <c r="N68"/>
  <c r="N71" s="1"/>
  <c r="R58"/>
  <c r="R60" s="1"/>
  <c r="R61" s="1"/>
  <c r="J84"/>
  <c r="I83" s="1"/>
  <c r="I77"/>
  <c r="K82"/>
  <c r="K79"/>
  <c r="K75"/>
  <c r="L75" s="1"/>
  <c r="K76"/>
  <c r="K78"/>
  <c r="Q60" l="1"/>
  <c r="Q61" s="1"/>
  <c r="Q62" l="1"/>
  <c r="F39" l="1"/>
  <c r="O67" l="1"/>
  <c r="F41"/>
  <c r="F35"/>
  <c r="Z15" l="1"/>
  <c r="Z14"/>
  <c r="Y10"/>
  <c r="X10"/>
  <c r="A2" l="1"/>
  <c r="J238" s="1"/>
  <c r="B1"/>
  <c r="J229" l="1"/>
  <c r="J235"/>
  <c r="J228"/>
  <c r="J232"/>
  <c r="J224"/>
  <c r="J227"/>
  <c r="J222"/>
  <c r="J223"/>
  <c r="J215"/>
  <c r="I14"/>
  <c r="M11"/>
  <c r="O11"/>
  <c r="O8"/>
  <c r="M8"/>
  <c r="E304"/>
  <c r="O9"/>
  <c r="E247"/>
  <c r="E292"/>
  <c r="E291"/>
  <c r="E302"/>
  <c r="E301"/>
  <c r="E299"/>
  <c r="E297"/>
  <c r="E296"/>
  <c r="E295"/>
  <c r="E294"/>
  <c r="E293"/>
  <c r="E290"/>
  <c r="E289"/>
  <c r="E288"/>
  <c r="E287"/>
  <c r="E303"/>
  <c r="E300"/>
  <c r="E298"/>
  <c r="J211"/>
  <c r="J212"/>
  <c r="J207"/>
  <c r="J208"/>
  <c r="E244"/>
  <c r="J204"/>
  <c r="E241"/>
  <c r="E238"/>
  <c r="E236"/>
  <c r="E237"/>
  <c r="E230"/>
  <c r="E226"/>
  <c r="E229"/>
  <c r="O274"/>
  <c r="E225"/>
  <c r="O261"/>
  <c r="O260"/>
  <c r="O273"/>
  <c r="O272"/>
  <c r="O271"/>
  <c r="O270"/>
  <c r="O269"/>
  <c r="O268"/>
  <c r="O267"/>
  <c r="O266"/>
  <c r="O265"/>
  <c r="O264"/>
  <c r="O263"/>
  <c r="O262"/>
  <c r="O259"/>
  <c r="O258"/>
  <c r="O257"/>
  <c r="O256"/>
  <c r="E222"/>
  <c r="E218"/>
  <c r="E219"/>
  <c r="E212"/>
  <c r="E206"/>
  <c r="E204"/>
  <c r="E196"/>
  <c r="E192"/>
  <c r="E215"/>
  <c r="E209"/>
  <c r="E205"/>
  <c r="E199"/>
  <c r="E193"/>
  <c r="E189"/>
  <c r="E185"/>
  <c r="E181"/>
  <c r="E179"/>
  <c r="E180"/>
  <c r="E39"/>
  <c r="E38"/>
  <c r="F40" s="1"/>
  <c r="E37"/>
  <c r="E36"/>
  <c r="F38" s="1"/>
  <c r="E34"/>
  <c r="E33"/>
  <c r="F36" s="1"/>
  <c r="E35"/>
  <c r="E32"/>
  <c r="E31"/>
  <c r="E30"/>
  <c r="E28"/>
  <c r="E29"/>
  <c r="E27"/>
  <c r="E25"/>
  <c r="E23"/>
  <c r="E21"/>
  <c r="O19"/>
  <c r="E19"/>
  <c r="R17"/>
  <c r="M17"/>
  <c r="M16"/>
  <c r="E15"/>
  <c r="R14"/>
  <c r="M14"/>
  <c r="R13"/>
  <c r="M13"/>
  <c r="E13"/>
  <c r="O12"/>
  <c r="I12"/>
  <c r="R11"/>
  <c r="E11"/>
  <c r="O10"/>
  <c r="I10"/>
  <c r="M9"/>
  <c r="E9"/>
  <c r="E8"/>
  <c r="O7"/>
  <c r="I7"/>
  <c r="R6"/>
  <c r="M6"/>
  <c r="E6"/>
  <c r="M5"/>
  <c r="E5"/>
  <c r="O4"/>
  <c r="I4"/>
  <c r="R3"/>
  <c r="M3"/>
  <c r="E3"/>
  <c r="E26"/>
  <c r="E24"/>
  <c r="E22"/>
  <c r="E20"/>
  <c r="M19"/>
  <c r="E18"/>
  <c r="O17"/>
  <c r="E17"/>
  <c r="O16"/>
  <c r="E16"/>
  <c r="R15"/>
  <c r="O14"/>
  <c r="E14"/>
  <c r="O13"/>
  <c r="I13"/>
  <c r="R12"/>
  <c r="M12"/>
  <c r="E12"/>
  <c r="X11" s="1"/>
  <c r="I11"/>
  <c r="R10"/>
  <c r="M10"/>
  <c r="E10"/>
  <c r="I9"/>
  <c r="I8"/>
  <c r="R7"/>
  <c r="M7"/>
  <c r="E7"/>
  <c r="O6"/>
  <c r="I6"/>
  <c r="O5"/>
  <c r="I5"/>
  <c r="R4"/>
  <c r="M4"/>
  <c r="E4"/>
  <c r="O3"/>
  <c r="I3"/>
  <c r="R2"/>
  <c r="K41" i="51"/>
  <c r="L38"/>
  <c r="P19" i="46" l="1"/>
  <c r="X33" i="51"/>
  <c r="W33"/>
  <c r="E25" l="1"/>
  <c r="V24"/>
  <c r="U24"/>
  <c r="T24"/>
  <c r="S24"/>
  <c r="R24"/>
  <c r="Q24"/>
  <c r="P24"/>
  <c r="O24"/>
  <c r="N24"/>
  <c r="M24"/>
  <c r="L24"/>
  <c r="K24"/>
  <c r="J24"/>
  <c r="I24"/>
  <c r="H24"/>
  <c r="G24"/>
  <c r="E24"/>
  <c r="F23" l="1"/>
  <c r="Y25" l="1"/>
  <c r="Y36" s="1"/>
  <c r="X25"/>
  <c r="X36" s="1"/>
  <c r="W25"/>
  <c r="W36" s="1"/>
  <c r="V25"/>
  <c r="V36" s="1"/>
  <c r="T25"/>
  <c r="T36" s="1"/>
  <c r="R25"/>
  <c r="R36" s="1"/>
  <c r="P25"/>
  <c r="P36" s="1"/>
  <c r="U25"/>
  <c r="U36" s="1"/>
  <c r="S25"/>
  <c r="S36" s="1"/>
  <c r="Q25"/>
  <c r="Q36" s="1"/>
  <c r="O25"/>
  <c r="O36" s="1"/>
  <c r="M25"/>
  <c r="M36" s="1"/>
  <c r="K25"/>
  <c r="K36" s="1"/>
  <c r="I25"/>
  <c r="I36" s="1"/>
  <c r="G25"/>
  <c r="N25"/>
  <c r="N36" s="1"/>
  <c r="L25"/>
  <c r="L36" s="1"/>
  <c r="J25"/>
  <c r="J36" s="1"/>
  <c r="H25"/>
  <c r="H36" s="1"/>
  <c r="E19"/>
  <c r="V18"/>
  <c r="U18"/>
  <c r="T18"/>
  <c r="S18"/>
  <c r="R18"/>
  <c r="Q18"/>
  <c r="P18"/>
  <c r="O18"/>
  <c r="N18"/>
  <c r="M18"/>
  <c r="L18"/>
  <c r="K18"/>
  <c r="J18"/>
  <c r="I18"/>
  <c r="H18"/>
  <c r="G18"/>
  <c r="E18"/>
  <c r="F17"/>
  <c r="G19" s="1"/>
  <c r="H13"/>
  <c r="G13"/>
  <c r="F13"/>
  <c r="E13"/>
  <c r="V12"/>
  <c r="U12"/>
  <c r="T12"/>
  <c r="S12"/>
  <c r="R12"/>
  <c r="Q12"/>
  <c r="P12"/>
  <c r="O12"/>
  <c r="N12"/>
  <c r="M12"/>
  <c r="L12"/>
  <c r="K12"/>
  <c r="J12"/>
  <c r="I12"/>
  <c r="H12"/>
  <c r="H33" s="1"/>
  <c r="G12"/>
  <c r="F12"/>
  <c r="E12"/>
  <c r="I11"/>
  <c r="V7"/>
  <c r="U7"/>
  <c r="T7"/>
  <c r="S7"/>
  <c r="R7"/>
  <c r="Q7"/>
  <c r="P7"/>
  <c r="O7"/>
  <c r="N7"/>
  <c r="M7"/>
  <c r="L7"/>
  <c r="K7"/>
  <c r="J7"/>
  <c r="I7"/>
  <c r="H7"/>
  <c r="G7"/>
  <c r="F7"/>
  <c r="V13" l="1"/>
  <c r="AB13"/>
  <c r="AA13"/>
  <c r="J13"/>
  <c r="I13" s="1"/>
  <c r="I33" s="1"/>
  <c r="L13"/>
  <c r="N13"/>
  <c r="P13"/>
  <c r="R13"/>
  <c r="T13"/>
  <c r="Z13"/>
  <c r="Y13"/>
  <c r="X13"/>
  <c r="W13"/>
  <c r="Y19"/>
  <c r="Y35" s="1"/>
  <c r="Z19"/>
  <c r="X19"/>
  <c r="X35" s="1"/>
  <c r="W19"/>
  <c r="W35" s="1"/>
  <c r="U19"/>
  <c r="S19"/>
  <c r="Q19"/>
  <c r="M19"/>
  <c r="I19"/>
  <c r="V19"/>
  <c r="V35" s="1"/>
  <c r="T19"/>
  <c r="T35" s="1"/>
  <c r="R19"/>
  <c r="R35" s="1"/>
  <c r="P19"/>
  <c r="P35" s="1"/>
  <c r="N19"/>
  <c r="N35" s="1"/>
  <c r="L19"/>
  <c r="L35" s="1"/>
  <c r="J19"/>
  <c r="J35" s="1"/>
  <c r="O19"/>
  <c r="O35" s="1"/>
  <c r="K19"/>
  <c r="K13"/>
  <c r="M13"/>
  <c r="O13"/>
  <c r="Q13"/>
  <c r="S13"/>
  <c r="U13"/>
  <c r="I35"/>
  <c r="K35"/>
  <c r="M35"/>
  <c r="Q35"/>
  <c r="S35"/>
  <c r="U35"/>
  <c r="H19"/>
  <c r="H35" s="1"/>
  <c r="E7"/>
  <c r="V6"/>
  <c r="V33" s="1"/>
  <c r="U6"/>
  <c r="U33" s="1"/>
  <c r="T6"/>
  <c r="T33" s="1"/>
  <c r="S6"/>
  <c r="S33" s="1"/>
  <c r="R6"/>
  <c r="R33" s="1"/>
  <c r="Q6"/>
  <c r="Q33" s="1"/>
  <c r="P6"/>
  <c r="P33" s="1"/>
  <c r="O6"/>
  <c r="O33" s="1"/>
  <c r="N6"/>
  <c r="N33" s="1"/>
  <c r="M6"/>
  <c r="M33" s="1"/>
  <c r="L6"/>
  <c r="L33" s="1"/>
  <c r="K6"/>
  <c r="K33" s="1"/>
  <c r="J6"/>
  <c r="J33" s="1"/>
  <c r="I6"/>
  <c r="H6"/>
  <c r="G6"/>
  <c r="F6"/>
  <c r="E6"/>
  <c r="Z35" l="1"/>
  <c r="AA18"/>
  <c r="Z16" s="1"/>
  <c r="H4" i="48"/>
  <c r="AJ18" i="51" l="1"/>
  <c r="AJ35" s="1"/>
  <c r="AI18"/>
  <c r="AI35" s="1"/>
  <c r="AH18"/>
  <c r="AH35" s="1"/>
  <c r="AG18"/>
  <c r="AG35" s="1"/>
  <c r="AF18"/>
  <c r="AF35" s="1"/>
  <c r="AE18"/>
  <c r="AE35" s="1"/>
  <c r="AD18"/>
  <c r="AD35" s="1"/>
  <c r="AB18"/>
  <c r="AC18"/>
  <c r="AA39"/>
  <c r="AA35"/>
  <c r="G76" i="47"/>
  <c r="I79" s="1"/>
  <c r="H79" s="1"/>
  <c r="AC35" i="51" l="1"/>
  <c r="AB35"/>
  <c r="J76" i="47"/>
  <c r="G72"/>
  <c r="G71"/>
  <c r="G70"/>
  <c r="I73" s="1"/>
  <c r="G69"/>
  <c r="G68"/>
  <c r="G67"/>
  <c r="I70" s="1"/>
  <c r="C51"/>
  <c r="K15" i="39"/>
  <c r="K517" i="43"/>
  <c r="L517" s="1"/>
  <c r="I223"/>
  <c r="I224" s="1"/>
  <c r="I221"/>
  <c r="K515"/>
  <c r="L515" s="1"/>
  <c r="G336"/>
  <c r="G337" s="1"/>
  <c r="O1125"/>
  <c r="P1125" s="1"/>
  <c r="Q1125" s="1"/>
  <c r="O1127"/>
  <c r="P1127" s="1"/>
  <c r="Q1127" s="1"/>
  <c r="O1129"/>
  <c r="P1129" s="1"/>
  <c r="Q1129" s="1"/>
  <c r="O1131"/>
  <c r="P1131" s="1"/>
  <c r="Q1131" s="1"/>
  <c r="O1133"/>
  <c r="P1133" s="1"/>
  <c r="Q1133" s="1"/>
  <c r="O1135"/>
  <c r="P1135" s="1"/>
  <c r="Q1135" s="1"/>
  <c r="O1137"/>
  <c r="P1137" s="1"/>
  <c r="Q1137" s="1"/>
  <c r="O1139"/>
  <c r="P1139" s="1"/>
  <c r="Q1139" s="1"/>
  <c r="O1124"/>
  <c r="P1124" s="1"/>
  <c r="Q1124" s="1"/>
  <c r="O1126"/>
  <c r="P1126" s="1"/>
  <c r="Q1126" s="1"/>
  <c r="O1128"/>
  <c r="P1128" s="1"/>
  <c r="Q1128" s="1"/>
  <c r="O1130"/>
  <c r="P1130" s="1"/>
  <c r="Q1130" s="1"/>
  <c r="O1132"/>
  <c r="P1132" s="1"/>
  <c r="Q1132" s="1"/>
  <c r="O1134"/>
  <c r="P1134" s="1"/>
  <c r="Q1134" s="1"/>
  <c r="O1136"/>
  <c r="P1136" s="1"/>
  <c r="Q1136" s="1"/>
  <c r="O1138"/>
  <c r="P1138" s="1"/>
  <c r="Q1138" s="1"/>
  <c r="O1140"/>
  <c r="P1140" s="1"/>
  <c r="Q1140" s="1"/>
  <c r="O1123"/>
  <c r="P1123" s="1"/>
  <c r="Q1236"/>
  <c r="R1236" s="1"/>
  <c r="P1397"/>
  <c r="R1397" s="1"/>
  <c r="P1405"/>
  <c r="R1447"/>
  <c r="R1449" s="1"/>
  <c r="R1405"/>
  <c r="R1485"/>
  <c r="R1487" s="1"/>
  <c r="R1523"/>
  <c r="R1525" s="1"/>
  <c r="R1813"/>
  <c r="R1815" s="1"/>
  <c r="O1815"/>
  <c r="R1728"/>
  <c r="R1730" s="1"/>
  <c r="O1730"/>
  <c r="E67" i="46"/>
  <c r="F67" s="1"/>
  <c r="B76"/>
  <c r="B77" s="1"/>
  <c r="B70"/>
  <c r="C70" s="1"/>
  <c r="D70" s="1"/>
  <c r="L79"/>
  <c r="L78"/>
  <c r="L82"/>
  <c r="K81"/>
  <c r="L81" s="1"/>
  <c r="J85"/>
  <c r="C81"/>
  <c r="C79" s="1"/>
  <c r="L76"/>
  <c r="N80" s="1"/>
  <c r="I80"/>
  <c r="G80"/>
  <c r="A259"/>
  <c r="A260" s="1"/>
  <c r="A261" s="1"/>
  <c r="A262" s="1"/>
  <c r="A263" s="1"/>
  <c r="A264" s="1"/>
  <c r="A265" s="1"/>
  <c r="A266" s="1"/>
  <c r="A267" s="1"/>
  <c r="A268" s="1"/>
  <c r="A269" s="1"/>
  <c r="A270" s="1"/>
  <c r="A271" s="1"/>
  <c r="A272" s="1"/>
  <c r="A273" s="1"/>
  <c r="A274" s="1"/>
  <c r="M76" l="1"/>
  <c r="P1409" i="43"/>
  <c r="R1409" s="1"/>
  <c r="R1411" s="1"/>
  <c r="P1142"/>
  <c r="Q1123"/>
  <c r="N78" i="46"/>
  <c r="K84"/>
  <c r="M82"/>
  <c r="M79"/>
  <c r="N79"/>
  <c r="J67" i="47"/>
  <c r="I72"/>
  <c r="J69" s="1"/>
  <c r="J70"/>
  <c r="I74"/>
  <c r="J71" s="1"/>
  <c r="C80" i="46"/>
  <c r="O1142" i="43"/>
  <c r="I71" i="47"/>
  <c r="J68" s="1"/>
  <c r="I75"/>
  <c r="J72" s="1"/>
  <c r="U134" i="1"/>
  <c r="U136" s="1"/>
  <c r="A26" i="30"/>
  <c r="A27"/>
  <c r="A28"/>
  <c r="A29"/>
  <c r="P10" i="40"/>
  <c r="P11"/>
  <c r="P12"/>
  <c r="P13"/>
  <c r="P14"/>
  <c r="P15"/>
  <c r="P16"/>
  <c r="P17"/>
  <c r="P18"/>
  <c r="P19"/>
  <c r="P20"/>
  <c r="P21"/>
  <c r="P22"/>
  <c r="P23"/>
  <c r="P24"/>
  <c r="P25"/>
  <c r="P26"/>
  <c r="P27"/>
  <c r="P28"/>
  <c r="P29"/>
  <c r="P30"/>
  <c r="P31"/>
  <c r="P32"/>
  <c r="P33"/>
  <c r="P34"/>
  <c r="P35"/>
  <c r="P36"/>
  <c r="P37"/>
  <c r="P38"/>
  <c r="P39"/>
  <c r="P40"/>
  <c r="P41"/>
  <c r="P42"/>
  <c r="P43"/>
  <c r="P44"/>
  <c r="P45"/>
  <c r="P46"/>
  <c r="P47"/>
  <c r="P48"/>
  <c r="P49"/>
  <c r="P50"/>
  <c r="B14"/>
  <c r="B15"/>
  <c r="B16"/>
  <c r="B17"/>
  <c r="B18"/>
  <c r="B19"/>
  <c r="B20"/>
  <c r="B21"/>
  <c r="B22"/>
  <c r="B23"/>
  <c r="B24"/>
  <c r="B25"/>
  <c r="B26"/>
  <c r="B27"/>
  <c r="B28"/>
  <c r="B29"/>
  <c r="B30"/>
  <c r="B31"/>
  <c r="B32"/>
  <c r="B33"/>
  <c r="B34"/>
  <c r="B35"/>
  <c r="B36"/>
  <c r="B37"/>
  <c r="B38"/>
  <c r="B39"/>
  <c r="B40"/>
  <c r="B41"/>
  <c r="B42"/>
  <c r="B43"/>
  <c r="B44"/>
  <c r="B45"/>
  <c r="B46"/>
  <c r="B47"/>
  <c r="B48"/>
  <c r="B49"/>
  <c r="B50"/>
  <c r="A30" i="30"/>
  <c r="A31"/>
  <c r="A32"/>
  <c r="A33"/>
  <c r="A34"/>
  <c r="A35"/>
  <c r="A36"/>
  <c r="A37"/>
  <c r="A38"/>
  <c r="E32" i="16"/>
  <c r="F32"/>
  <c r="K31"/>
  <c r="B34" i="5"/>
  <c r="B35"/>
  <c r="B36"/>
  <c r="B37"/>
  <c r="B38"/>
  <c r="B39"/>
  <c r="B40"/>
  <c r="B41"/>
  <c r="B42"/>
  <c r="B43"/>
  <c r="AJ33" i="23"/>
  <c r="AK33"/>
  <c r="H33"/>
  <c r="E33" i="16"/>
  <c r="F33"/>
  <c r="B44" i="5"/>
  <c r="B45"/>
  <c r="E61" i="23"/>
  <c r="E63"/>
  <c r="E142" i="24"/>
  <c r="E144"/>
  <c r="E85" i="16"/>
  <c r="F85"/>
  <c r="H35" i="23"/>
</calcChain>
</file>

<file path=xl/comments1.xml><?xml version="1.0" encoding="utf-8"?>
<comments xmlns="http://schemas.openxmlformats.org/spreadsheetml/2006/main">
  <authors>
    <author>CesarQ</author>
  </authors>
  <commentList>
    <comment ref="N2" authorId="0">
      <text>
        <r>
          <rPr>
            <sz val="8"/>
            <color indexed="10"/>
            <rFont val="Tahoma"/>
            <family val="2"/>
          </rPr>
          <t>Servicio de 2400hrs</t>
        </r>
      </text>
    </comment>
    <comment ref="T2" authorId="0">
      <text>
        <r>
          <rPr>
            <sz val="8"/>
            <color indexed="10"/>
            <rFont val="Tahoma"/>
            <family val="2"/>
          </rPr>
          <t>Servicio de 2800hrs</t>
        </r>
      </text>
    </comment>
    <comment ref="Y2" authorId="0">
      <text>
        <r>
          <rPr>
            <b/>
            <sz val="8"/>
            <color indexed="10"/>
            <rFont val="Tahoma"/>
            <family val="2"/>
          </rPr>
          <t>Servicio d 3200hrs - CALLAO</t>
        </r>
        <r>
          <rPr>
            <sz val="8"/>
            <color indexed="10"/>
            <rFont val="Tahoma"/>
            <family val="2"/>
          </rPr>
          <t xml:space="preserve">
Marca: INTERNATIONAL Matrícula: ANH873 
</t>
        </r>
        <r>
          <rPr>
            <sz val="8"/>
            <color indexed="10"/>
            <rFont val="Arial"/>
            <family val="2"/>
          </rPr>
          <t xml:space="preserve">Bastidor: 3HSWYAHT1GN379896 Descripción: 7600 SBA 6X4 Color: * Año Fab: 2015 Fecha Venta: 10/8/2016 Modelo: SF64700 Letras Motor: CUM ISM 35335426 Kilómetros: 44951 Orden 107 - G - 2018 
</t>
        </r>
        <r>
          <rPr>
            <b/>
            <sz val="8"/>
            <color indexed="10"/>
            <rFont val="Arial"/>
            <family val="2"/>
          </rPr>
          <t xml:space="preserve">Fecha de apertura 21/4/2018 </t>
        </r>
        <r>
          <rPr>
            <sz val="8"/>
            <color indexed="10"/>
            <rFont val="Arial"/>
            <family val="2"/>
          </rPr>
          <t>Asesor: Oscar Leonardo Moreno Hurtado (ICPSA) Avería: 1 MANTENIMIENO T PREVENTIVO TIPO A ISM</t>
        </r>
      </text>
    </comment>
    <comment ref="AI2" authorId="0">
      <text>
        <r>
          <rPr>
            <b/>
            <sz val="8"/>
            <color indexed="10"/>
            <rFont val="Tahoma"/>
            <family val="2"/>
          </rPr>
          <t>Servicio LUBE 2</t>
        </r>
        <r>
          <rPr>
            <sz val="8"/>
            <color indexed="10"/>
            <rFont val="Tahoma"/>
            <family val="2"/>
          </rPr>
          <t xml:space="preserve">
Cambio de:
Aceite de motor
Aceite de caja
Aceite de corona
adicionalmente se cambio faja de motor</t>
        </r>
      </text>
    </comment>
    <comment ref="AT2" authorId="0">
      <text>
        <r>
          <rPr>
            <b/>
            <sz val="10"/>
            <color indexed="81"/>
            <rFont val="Arial"/>
            <family val="2"/>
          </rPr>
          <t>MANTENIMIENOT PREVENTIVO TIPO A ISM US$</t>
        </r>
        <r>
          <rPr>
            <sz val="8"/>
            <color indexed="81"/>
            <rFont val="Arial"/>
            <family val="2"/>
          </rPr>
          <t xml:space="preserve"> </t>
        </r>
        <r>
          <rPr>
            <b/>
            <sz val="10"/>
            <color indexed="81"/>
            <rFont val="Arial"/>
            <family val="2"/>
          </rPr>
          <t>265,15</t>
        </r>
        <r>
          <rPr>
            <sz val="8"/>
            <color indexed="81"/>
            <rFont val="Arial"/>
            <family val="2"/>
          </rPr>
          <t xml:space="preserve"> 34,32 230,83
MO- MANTENIMIENTO PREVENTIVO LUBE 1 1,00 35,67 35,67 5,35 30,32
RE- ARANDELA DE TAPON DE CARTER 1,00 3,75 3,75 0,38 3,37
RE- FILTRO AIRE PRIMARIO ver AF26103NA 1,00 40,65 40,65 4,07 36,58
RE- FILTRO DE PETROLEO ISM-10MICRAS 1,00 10,06 10,06 1,01 9,05
RE- FILTRO DE ACEITE ISM - ISX 1,00 23,15 23,15 2,32 20,83
RE- ACEITE DE MOTOR 15W40 CI-4 PLUS / SL 01 GALON 10,00 12,00 120,00 18,00 102,00
RE- EP 2 MOLY 1-120LB GRASA 01 KG 2,00 8,80 17,60 1,76 15,84
OC- MATERIALES LUBE 01 1,00 14,27 14,27 1,43 12,84
</t>
        </r>
        <r>
          <rPr>
            <b/>
            <sz val="10"/>
            <color indexed="81"/>
            <rFont val="Arial"/>
            <family val="2"/>
          </rPr>
          <t>CAMBIO DE CHAPA DE PUERTA US$ 76,60</t>
        </r>
        <r>
          <rPr>
            <sz val="8"/>
            <color indexed="81"/>
            <rFont val="Arial"/>
            <family val="2"/>
          </rPr>
          <t xml:space="preserve"> 10,71 65,89
MO- TRABAJOS MECANICOS EN CHAPA DE PUERTA . 2,00 30,51 61,02 9,15 51,87
RE- SEGURO DE CHAPA 1,00 15,58 15,58 1,56 14,02
Sub-Total 296,72
I.G.V. 53,41
Total 350,13
SON:  TRESCIENTOS CINCUENTA Y 13/100 Dolares Americanos</t>
        </r>
      </text>
    </comment>
    <comment ref="AL8" authorId="0">
      <text>
        <r>
          <rPr>
            <sz val="8"/>
            <color indexed="81"/>
            <rFont val="Tahoma"/>
            <family val="2"/>
          </rPr>
          <t>Se cambio aceite al 06/05/2019 Alejandro Dueñas (ATP).</t>
        </r>
      </text>
    </comment>
    <comment ref="AN8" authorId="0">
      <text>
        <r>
          <rPr>
            <sz val="8"/>
            <color indexed="81"/>
            <rFont val="Tahoma"/>
            <family val="2"/>
          </rPr>
          <t>Apartir de esta semana trabajara(J.Condor) en el AZUFRE para Aris sg UMT 25/06/2019 09:30hrs</t>
        </r>
      </text>
    </comment>
    <comment ref="AO8" authorId="0">
      <text>
        <r>
          <rPr>
            <sz val="8"/>
            <color indexed="81"/>
            <rFont val="Tahoma"/>
            <family val="2"/>
          </rPr>
          <t>Apartir de esta semana trabajara(J.Condor) en el AZUFRE para Aris sg UMT 25/06/2019 09:30hrs</t>
        </r>
      </text>
    </comment>
    <comment ref="AP8" authorId="0">
      <text>
        <r>
          <rPr>
            <sz val="8"/>
            <color indexed="81"/>
            <rFont val="Tahoma"/>
            <family val="2"/>
          </rPr>
          <t>Apartir de esta semana trabajara(J.Condor) en el AZUFRE para Aris sg UMT 25/06/2019 09:30hrs</t>
        </r>
      </text>
    </comment>
    <comment ref="AT8" authorId="0">
      <text>
        <r>
          <rPr>
            <sz val="8"/>
            <color indexed="81"/>
            <rFont val="Tahoma"/>
            <family val="2"/>
          </rPr>
          <t>Se cambio aceite al 06/05/2019 Alejandro Dueñas (ATP).</t>
        </r>
      </text>
    </comment>
    <comment ref="AJ14" authorId="0">
      <text>
        <r>
          <rPr>
            <sz val="8"/>
            <color indexed="81"/>
            <rFont val="Tahoma"/>
            <family val="2"/>
          </rPr>
          <t>Se cambio aceite al 25/03/2019 Alejandro Dueñas (ATP)</t>
        </r>
      </text>
    </comment>
    <comment ref="AT14" authorId="0">
      <text>
        <r>
          <rPr>
            <sz val="8"/>
            <color indexed="81"/>
            <rFont val="Tahoma"/>
            <family val="2"/>
          </rPr>
          <t>Se cambio aceite al 06/05/2019 Alejandro Dueñas (ATP).</t>
        </r>
      </text>
    </comment>
    <comment ref="AH20" authorId="0">
      <text>
        <r>
          <rPr>
            <sz val="8"/>
            <color indexed="81"/>
            <rFont val="Tahoma"/>
            <family val="2"/>
          </rPr>
          <t>Se cambio aceite al 22/01/2019 Alejandro Dueñas (ATP)</t>
        </r>
      </text>
    </comment>
    <comment ref="AQ20" authorId="0">
      <text>
        <r>
          <rPr>
            <sz val="8"/>
            <color indexed="81"/>
            <rFont val="Tahoma"/>
            <family val="2"/>
          </rPr>
          <t>Se cambio aceite al 03/09/2019 Alejandro Dueñas (ATP)</t>
        </r>
      </text>
    </comment>
    <comment ref="AP26" authorId="0">
      <text>
        <r>
          <rPr>
            <sz val="8"/>
            <color indexed="81"/>
            <rFont val="Arial"/>
            <family val="2"/>
          </rPr>
          <t>Instalacion de Sistema Hidraulico y tanque, para operatividad de tolva (17/09/19)</t>
        </r>
      </text>
    </comment>
  </commentList>
</comments>
</file>

<file path=xl/comments2.xml><?xml version="1.0" encoding="utf-8"?>
<comments xmlns="http://schemas.openxmlformats.org/spreadsheetml/2006/main">
  <authors>
    <author>CesarQ</author>
    <author>Cesar Quispe Ramos</author>
    <author>Cesar Quispe R.</author>
    <author>Cesar Enrique Quispe Ramos</author>
  </authors>
  <commentList>
    <comment ref="Q2" authorId="0">
      <text>
        <r>
          <rPr>
            <sz val="8"/>
            <color indexed="81"/>
            <rFont val="Tahoma"/>
            <family val="2"/>
          </rPr>
          <t>CesarQ@transcosta.com.pe - Cq08238398
JorgeM@transcosta.com.pe - Jm06581811</t>
        </r>
        <r>
          <rPr>
            <sz val="8"/>
            <color indexed="81"/>
            <rFont val="Tahoma"/>
            <family val="2"/>
          </rPr>
          <t xml:space="preserve">
</t>
        </r>
      </text>
    </comment>
    <comment ref="U2" authorId="1">
      <text>
        <r>
          <rPr>
            <sz val="10"/>
            <color indexed="81"/>
            <rFont val="Arial"/>
            <family val="2"/>
          </rPr>
          <t>TRANSCOSTA001- tc2000</t>
        </r>
      </text>
    </comment>
    <comment ref="V2" authorId="0">
      <text>
        <r>
          <rPr>
            <b/>
            <sz val="8"/>
            <color indexed="81"/>
            <rFont val="Tahoma"/>
            <family val="2"/>
          </rPr>
          <t xml:space="preserve">Usuario : 08238398
Contraseña es: CESARQ456
</t>
        </r>
      </text>
    </comment>
    <comment ref="B3" authorId="0">
      <text>
        <r>
          <rPr>
            <sz val="10"/>
            <color indexed="10"/>
            <rFont val="Tahoma"/>
            <family val="2"/>
          </rPr>
          <t>101  YG-1384</t>
        </r>
      </text>
    </comment>
    <comment ref="F3" authorId="2">
      <text>
        <r>
          <rPr>
            <b/>
            <sz val="8"/>
            <color indexed="81"/>
            <rFont val="Tahoma"/>
            <family val="2"/>
          </rPr>
          <t>164  YG-6161</t>
        </r>
      </text>
    </comment>
    <comment ref="J3" authorId="0">
      <text>
        <r>
          <rPr>
            <sz val="9"/>
            <color indexed="81"/>
            <rFont val="Tahoma"/>
            <family val="2"/>
          </rPr>
          <t xml:space="preserve">Nro. </t>
        </r>
        <r>
          <rPr>
            <sz val="10"/>
            <color indexed="81"/>
            <rFont val="Tahoma"/>
            <family val="2"/>
          </rPr>
          <t xml:space="preserve">Placa </t>
        </r>
        <r>
          <rPr>
            <sz val="9"/>
            <color indexed="81"/>
            <rFont val="Tahoma"/>
            <family val="2"/>
          </rPr>
          <t xml:space="preserve"> </t>
        </r>
        <r>
          <rPr>
            <b/>
            <sz val="10"/>
            <color indexed="10"/>
            <rFont val="Tahoma"/>
            <family val="2"/>
          </rPr>
          <t>D5M-004</t>
        </r>
        <r>
          <rPr>
            <sz val="9"/>
            <color indexed="81"/>
            <rFont val="Tahoma"/>
            <family val="2"/>
          </rPr>
          <t xml:space="preserve">
Nro. Serie  WBAFR7109DDZ00026
No. Vin  WBAFR7109DDZ00026
Nro. Motor  09048190
Color  NEGRO ZAFIRO METALIZADO
Marca  </t>
        </r>
        <r>
          <rPr>
            <sz val="10"/>
            <color indexed="10"/>
            <rFont val="Tahoma"/>
            <family val="2"/>
          </rPr>
          <t xml:space="preserve">BMW  </t>
        </r>
        <r>
          <rPr>
            <sz val="9"/>
            <color indexed="81"/>
            <rFont val="Tahoma"/>
            <family val="2"/>
          </rPr>
          <t xml:space="preserve">Modelo  </t>
        </r>
        <r>
          <rPr>
            <sz val="10"/>
            <color indexed="10"/>
            <rFont val="Tahoma"/>
            <family val="2"/>
          </rPr>
          <t>535I</t>
        </r>
        <r>
          <rPr>
            <sz val="9"/>
            <color indexed="81"/>
            <rFont val="Tahoma"/>
            <family val="2"/>
          </rPr>
          <t xml:space="preserve">
Propietarios TRANSPORTE COMERCIAL Y SEGURO TAKUSHI S.A.C.
Sede  LIMA</t>
        </r>
      </text>
    </comment>
    <comment ref="U3" authorId="2">
      <text>
        <r>
          <rPr>
            <sz val="9"/>
            <color indexed="81"/>
            <rFont val="Arial"/>
            <family val="2"/>
          </rPr>
          <t xml:space="preserve">124747-654-321-2//124721-700-770-4 </t>
        </r>
      </text>
    </comment>
    <comment ref="V3" authorId="0">
      <text>
        <r>
          <rPr>
            <b/>
            <sz val="8"/>
            <color indexed="81"/>
            <rFont val="Tahoma"/>
            <family val="2"/>
          </rPr>
          <t xml:space="preserve">Usuario : 08238398
Contraseña : 5965cq
</t>
        </r>
      </text>
    </comment>
    <comment ref="AB3" authorId="0">
      <text>
        <r>
          <rPr>
            <sz val="10"/>
            <color indexed="10"/>
            <rFont val="Tahoma"/>
            <family val="2"/>
          </rPr>
          <t>101  YG-1384</t>
        </r>
      </text>
    </comment>
    <comment ref="AE3" authorId="0">
      <text>
        <r>
          <rPr>
            <sz val="10"/>
            <color indexed="10"/>
            <rFont val="Tahoma"/>
            <family val="2"/>
          </rPr>
          <t>160  YG-6134</t>
        </r>
      </text>
    </comment>
    <comment ref="AM3" authorId="1">
      <text>
        <r>
          <rPr>
            <sz val="10"/>
            <color indexed="81"/>
            <rFont val="Tahoma"/>
            <family val="2"/>
          </rPr>
          <t>ZG-6709</t>
        </r>
        <r>
          <rPr>
            <sz val="9"/>
            <color indexed="81"/>
            <rFont val="Tahoma"/>
            <family val="2"/>
          </rPr>
          <t xml:space="preserve">
</t>
        </r>
      </text>
    </comment>
    <comment ref="F4" authorId="2">
      <text>
        <r>
          <rPr>
            <b/>
            <sz val="12"/>
            <color indexed="81"/>
            <rFont val="Arial"/>
            <family val="2"/>
          </rPr>
          <t>165  YG-6130</t>
        </r>
      </text>
    </comment>
    <comment ref="R4" authorId="1">
      <text>
        <r>
          <rPr>
            <b/>
            <sz val="8"/>
            <color indexed="81"/>
            <rFont val="Tahoma"/>
            <family val="2"/>
          </rPr>
          <t xml:space="preserve">Avisar a OPERACIONES </t>
        </r>
        <r>
          <rPr>
            <sz val="8"/>
            <color indexed="81"/>
            <rFont val="Tahoma"/>
            <family val="2"/>
          </rPr>
          <t>(F_Tamara) los dias 25 de cada mes aprox.</t>
        </r>
      </text>
    </comment>
    <comment ref="U4" authorId="1">
      <text>
        <r>
          <rPr>
            <sz val="10"/>
            <color indexed="81"/>
            <rFont val="Arial"/>
            <family val="2"/>
          </rPr>
          <t>20492292592-236561-2</t>
        </r>
      </text>
    </comment>
    <comment ref="AE4" authorId="0">
      <text>
        <r>
          <rPr>
            <sz val="10"/>
            <color indexed="81"/>
            <rFont val="Tahoma"/>
            <family val="2"/>
          </rPr>
          <t>161  YG-6035</t>
        </r>
      </text>
    </comment>
    <comment ref="AM4" authorId="2">
      <text>
        <r>
          <rPr>
            <b/>
            <sz val="12"/>
            <color indexed="81"/>
            <rFont val="Arial"/>
            <family val="2"/>
          </rPr>
          <t>202  ZG-6710</t>
        </r>
      </text>
    </comment>
    <comment ref="F5" authorId="2">
      <text>
        <r>
          <rPr>
            <b/>
            <sz val="8"/>
            <color indexed="81"/>
            <rFont val="Tahoma"/>
            <family val="2"/>
          </rPr>
          <t>166  YG-6131</t>
        </r>
      </text>
    </comment>
    <comment ref="J5" authorId="0">
      <text>
        <r>
          <rPr>
            <sz val="9"/>
            <color indexed="81"/>
            <rFont val="Tahoma"/>
            <family val="2"/>
          </rPr>
          <t xml:space="preserve">Nro. Placa  </t>
        </r>
        <r>
          <rPr>
            <sz val="10"/>
            <color indexed="10"/>
            <rFont val="Tahoma"/>
            <family val="2"/>
          </rPr>
          <t>RIV-361</t>
        </r>
        <r>
          <rPr>
            <b/>
            <sz val="10"/>
            <color indexed="10"/>
            <rFont val="Tahoma"/>
            <family val="2"/>
          </rPr>
          <t xml:space="preserve"> - BDX-539
Propietarios </t>
        </r>
        <r>
          <rPr>
            <sz val="10"/>
            <color indexed="10"/>
            <rFont val="Tahoma"/>
            <family val="2"/>
          </rPr>
          <t xml:space="preserve">HUAMNI BENVIDES,GRACIELA LUCILA - MARTINEZ TERRONES UBELSER </t>
        </r>
        <r>
          <rPr>
            <sz val="9"/>
            <color indexed="81"/>
            <rFont val="Tahoma"/>
            <family val="2"/>
          </rPr>
          <t xml:space="preserve">
Nro. Serie  1FMPU18L9YLB47141
Nro. Motor  1FMPU18L9YLB47141
Color  NEGRO
Marca  FORD
Modelo  EXPEDITION EBAU 2000
Propietarios 
TRANSPORTE COMERCIAL Y SEGURO TAKUSHI S.A.C.
Sede  LIMA</t>
        </r>
      </text>
    </comment>
    <comment ref="AM5" authorId="2">
      <text>
        <r>
          <rPr>
            <b/>
            <sz val="12"/>
            <color indexed="81"/>
            <rFont val="Arial"/>
            <family val="2"/>
          </rPr>
          <t>204  ZG-6712</t>
        </r>
      </text>
    </comment>
    <comment ref="F6" authorId="2">
      <text>
        <r>
          <rPr>
            <b/>
            <sz val="12"/>
            <color indexed="81"/>
            <rFont val="Arial"/>
            <family val="2"/>
          </rPr>
          <t>167  YG-6132</t>
        </r>
      </text>
    </comment>
    <comment ref="J6" authorId="0">
      <text>
        <r>
          <rPr>
            <sz val="9"/>
            <color indexed="81"/>
            <rFont val="Tahoma"/>
            <family val="2"/>
          </rPr>
          <t xml:space="preserve">Nro. Placa  </t>
        </r>
        <r>
          <rPr>
            <b/>
            <sz val="10"/>
            <color indexed="10"/>
            <rFont val="Tahoma"/>
            <family val="2"/>
          </rPr>
          <t>D3V-208</t>
        </r>
        <r>
          <rPr>
            <sz val="9"/>
            <color indexed="81"/>
            <rFont val="Tahoma"/>
            <family val="2"/>
          </rPr>
          <t xml:space="preserve">
Nro. Serie  KMHST81CBDU077138
No. Vin  KMHST81CBDU077138
Nro. Motor  G4KECU923377
Color  NEGRO
Marca  HYUNDAI
Modelo  SANTA FE
Propietarios 
INMOBILIARIA Y CONSTRUCTORA LLACOCCHE S.A.C.
Sede  LIMA</t>
        </r>
      </text>
    </comment>
    <comment ref="AM6" authorId="1">
      <text>
        <r>
          <rPr>
            <b/>
            <sz val="10"/>
            <color indexed="10"/>
            <rFont val="Tahoma"/>
            <family val="2"/>
          </rPr>
          <t xml:space="preserve">C4J-973 </t>
        </r>
        <r>
          <rPr>
            <sz val="9"/>
            <color indexed="81"/>
            <rFont val="Tahoma"/>
            <family val="2"/>
          </rPr>
          <t xml:space="preserve">
Propietario: EMPRESA DE TRANSPORTES E INVERSIONES GENERALES M &amp; F SAC  Ex_Unidad_TRANSCOSTA </t>
        </r>
      </text>
    </comment>
    <comment ref="B7" authorId="0">
      <text>
        <r>
          <rPr>
            <sz val="10"/>
            <color indexed="81"/>
            <rFont val="Tahoma"/>
            <family val="2"/>
          </rPr>
          <t>105  YG-1335</t>
        </r>
      </text>
    </comment>
    <comment ref="J7" authorId="0">
      <text>
        <r>
          <rPr>
            <sz val="9"/>
            <color indexed="81"/>
            <rFont val="Arial"/>
            <family val="2"/>
          </rPr>
          <t xml:space="preserve">Nro. Placa  </t>
        </r>
        <r>
          <rPr>
            <b/>
            <sz val="10"/>
            <color indexed="10"/>
            <rFont val="Arial"/>
            <family val="2"/>
          </rPr>
          <t>AFY-542</t>
        </r>
        <r>
          <rPr>
            <sz val="9"/>
            <color indexed="81"/>
            <rFont val="Arial"/>
            <family val="2"/>
          </rPr>
          <t xml:space="preserve">
Nro. Serie  KNAPB81ABF7747352
No. Vin  KNAPB81ABF7747352
Nro. Motor  G4NAEH820665
Color  rojo señal
Marca  KIA
Modelo  SPORTAGE
Propietarios 
TRANSPORTE COMERCIAL Y SEGURO TAKUSHI SAC.
Sede  LIMA</t>
        </r>
      </text>
    </comment>
    <comment ref="Q7" authorId="2">
      <text>
        <r>
          <rPr>
            <sz val="9"/>
            <color indexed="81"/>
            <rFont val="Arial"/>
            <family val="2"/>
          </rPr>
          <t xml:space="preserve">Usuario: 08238398  - 503278a
cuenta: ma@sutran.gob.pe. </t>
        </r>
      </text>
    </comment>
    <comment ref="U7" authorId="2">
      <text>
        <r>
          <rPr>
            <sz val="9"/>
            <color indexed="81"/>
            <rFont val="Arial"/>
            <family val="2"/>
          </rPr>
          <t xml:space="preserve">Usuario: 08238398  - 503278a
cuenta: ma@sutran.gob.pe. </t>
        </r>
      </text>
    </comment>
    <comment ref="AB7" authorId="0">
      <text>
        <r>
          <rPr>
            <sz val="10"/>
            <color indexed="81"/>
            <rFont val="Tahoma"/>
            <family val="2"/>
          </rPr>
          <t>105  YG-1335</t>
        </r>
      </text>
    </comment>
    <comment ref="AE7" authorId="2">
      <text>
        <r>
          <rPr>
            <b/>
            <sz val="8"/>
            <color indexed="81"/>
            <rFont val="Tahoma"/>
            <family val="2"/>
          </rPr>
          <t>164  YG-6161</t>
        </r>
      </text>
    </comment>
    <comment ref="AM7" authorId="0">
      <text>
        <r>
          <rPr>
            <b/>
            <sz val="10"/>
            <color indexed="81"/>
            <rFont val="Tahoma"/>
            <family val="2"/>
          </rPr>
          <t>207  ZG-6763</t>
        </r>
      </text>
    </comment>
    <comment ref="B8" authorId="0">
      <text>
        <r>
          <rPr>
            <sz val="10"/>
            <color indexed="10"/>
            <rFont val="Tahoma"/>
            <family val="2"/>
          </rPr>
          <t>106  YG-1364</t>
        </r>
      </text>
    </comment>
    <comment ref="F8" authorId="0">
      <text>
        <r>
          <rPr>
            <b/>
            <sz val="10"/>
            <color indexed="81"/>
            <rFont val="Tahoma"/>
            <family val="2"/>
          </rPr>
          <t>169  YG-6033</t>
        </r>
      </text>
    </comment>
    <comment ref="J8" authorId="1">
      <text>
        <r>
          <rPr>
            <sz val="8"/>
            <color indexed="81"/>
            <rFont val="Tahoma"/>
            <family val="2"/>
          </rPr>
          <t xml:space="preserve">Nro. Placa  </t>
        </r>
        <r>
          <rPr>
            <b/>
            <sz val="10"/>
            <color indexed="10"/>
            <rFont val="Tahoma"/>
            <family val="2"/>
          </rPr>
          <t>ACQ-207</t>
        </r>
        <r>
          <rPr>
            <sz val="8"/>
            <color indexed="81"/>
            <rFont val="Tahoma"/>
            <family val="2"/>
          </rPr>
          <t xml:space="preserve">
</t>
        </r>
        <r>
          <rPr>
            <sz val="9"/>
            <color indexed="81"/>
            <rFont val="Tahoma"/>
            <family val="2"/>
          </rPr>
          <t>Nro. Serie  WVGZZZ7PZED045862
No. Vin  WVGZZZ7PZED045862
Nro. Motor  CGR039757
Color  GRIS SILEX OSCURO
Marca  VOLKSWAGEN
Modelo  TOUAREG 3.6 V6 FSI TIP
Propietarios 
MALAGA BEKICH, JORGE LUIS JOSE
PACUSSICH PEREZ, PRISCILLA-</t>
        </r>
      </text>
    </comment>
    <comment ref="Q8" authorId="2">
      <text>
        <r>
          <rPr>
            <sz val="8"/>
            <color indexed="81"/>
            <rFont val="Tahoma"/>
            <family val="2"/>
          </rPr>
          <t xml:space="preserve">Periodo :  01 al 30  x mes
Pago hasta el 15 c/mes
</t>
        </r>
        <r>
          <rPr>
            <sz val="9"/>
            <color indexed="81"/>
            <rFont val="Tahoma"/>
            <family val="2"/>
          </rPr>
          <t xml:space="preserve">Nº Cilente </t>
        </r>
        <r>
          <rPr>
            <b/>
            <sz val="9"/>
            <color indexed="81"/>
            <rFont val="Tahoma"/>
            <family val="2"/>
          </rPr>
          <t>27581339</t>
        </r>
        <r>
          <rPr>
            <sz val="8"/>
            <color indexed="81"/>
            <rFont val="Tahoma"/>
            <family val="2"/>
          </rPr>
          <t xml:space="preserve">
Pago en BCP, Interbanc, Scotiabank</t>
        </r>
      </text>
    </comment>
    <comment ref="AB8" authorId="0">
      <text>
        <r>
          <rPr>
            <sz val="10"/>
            <color indexed="10"/>
            <rFont val="Tahoma"/>
            <family val="2"/>
          </rPr>
          <t>106  YG-1364</t>
        </r>
      </text>
    </comment>
    <comment ref="AE8" authorId="2">
      <text>
        <r>
          <rPr>
            <b/>
            <sz val="12"/>
            <color indexed="81"/>
            <rFont val="Arial"/>
            <family val="2"/>
          </rPr>
          <t>165  YG-6130</t>
        </r>
      </text>
    </comment>
    <comment ref="AM8" authorId="0">
      <text>
        <r>
          <rPr>
            <sz val="10"/>
            <color indexed="81"/>
            <rFont val="Tahoma"/>
            <family val="2"/>
          </rPr>
          <t>209  ZG-6765</t>
        </r>
      </text>
    </comment>
    <comment ref="F9" authorId="0">
      <text>
        <r>
          <rPr>
            <sz val="10"/>
            <color indexed="10"/>
            <rFont val="Tahoma"/>
            <family val="2"/>
          </rPr>
          <t>170  YG-6034</t>
        </r>
      </text>
    </comment>
    <comment ref="J9" authorId="0">
      <text>
        <r>
          <rPr>
            <sz val="9"/>
            <color indexed="81"/>
            <rFont val="Tahoma"/>
            <family val="2"/>
          </rPr>
          <t xml:space="preserve">Numero de Placa  </t>
        </r>
        <r>
          <rPr>
            <b/>
            <sz val="12"/>
            <color indexed="10"/>
            <rFont val="Tahoma"/>
            <family val="2"/>
          </rPr>
          <t>A3C-434</t>
        </r>
        <r>
          <rPr>
            <sz val="9"/>
            <color indexed="81"/>
            <rFont val="Tahoma"/>
            <family val="2"/>
          </rPr>
          <t xml:space="preserve">
Número de Seri'e   JTDBR42E9AJ020158 
No. Vin  JTDBR42E9AJ020158
Número de Motor   1ZZ3298809 
Color  GRIS OSCURO METALICO
Marca  TOYOTA
Modelo   COROLLA 
Propietarios COCCHELLA GARCIA VDA. DE MALAGA, ALEJANDRINA ISABEL 
Sede   LIMA </t>
        </r>
      </text>
    </comment>
    <comment ref="S9" authorId="0">
      <text>
        <r>
          <rPr>
            <sz val="8"/>
            <color indexed="81"/>
            <rFont val="Arial"/>
            <family val="2"/>
          </rPr>
          <t xml:space="preserve">Inst d Plaqueta de Identificacion 11-03-15
Pago a Bco_Nacion S/. 250.00 
Tributo : 000028943
Atencion lun a vie , Sap Instalacion en vehiculo de plaquete de 08:00-12:00
</t>
        </r>
      </text>
    </comment>
    <comment ref="AE9" authorId="2">
      <text>
        <r>
          <rPr>
            <b/>
            <sz val="8"/>
            <color indexed="81"/>
            <rFont val="Tahoma"/>
            <family val="2"/>
          </rPr>
          <t>166  YG-6131</t>
        </r>
      </text>
    </comment>
    <comment ref="B10" authorId="0">
      <text>
        <r>
          <rPr>
            <sz val="10"/>
            <color indexed="10"/>
            <rFont val="Arial"/>
            <family val="2"/>
          </rPr>
          <t>108  YG-1367</t>
        </r>
      </text>
    </comment>
    <comment ref="F10" authorId="0">
      <text>
        <r>
          <rPr>
            <sz val="9"/>
            <color indexed="81"/>
            <rFont val="Tahoma"/>
            <family val="2"/>
          </rPr>
          <t xml:space="preserve">N° PLACA: </t>
        </r>
        <r>
          <rPr>
            <b/>
            <sz val="10"/>
            <color indexed="10"/>
            <rFont val="Tahoma"/>
            <family val="2"/>
          </rPr>
          <t>ANH-873</t>
        </r>
        <r>
          <rPr>
            <sz val="9"/>
            <color indexed="81"/>
            <rFont val="Tahoma"/>
            <family val="2"/>
          </rPr>
          <t xml:space="preserve">
N° SERIE: 3HSWYAHT1GN379896
N° VIN: 3HSWYAHT1GN379896
N° MOTOR: 35335426
COLOR: BLANCO
MARCA: INTERNATIONAL
MODELO: 7600 SBA 6X4
ESTADO: Normal
SEDE: LIMA
PROPIETARIOS TRANSPORTE COMERCIAL Y SEGURO TAKUSHI</t>
        </r>
      </text>
    </comment>
    <comment ref="J10" authorId="1">
      <text>
        <r>
          <rPr>
            <sz val="9"/>
            <color indexed="81"/>
            <rFont val="Tahoma"/>
            <family val="2"/>
          </rPr>
          <t xml:space="preserve">Nro. Placa  </t>
        </r>
        <r>
          <rPr>
            <b/>
            <sz val="9"/>
            <color indexed="10"/>
            <rFont val="Tahoma"/>
            <family val="2"/>
          </rPr>
          <t>F6M-624</t>
        </r>
        <r>
          <rPr>
            <sz val="9"/>
            <color indexed="81"/>
            <rFont val="Tahoma"/>
            <family val="2"/>
          </rPr>
          <t xml:space="preserve">
Nro. Serie  KNAJC521855357673
No. Vin  KNAJC521855357673
Nro. Motor  D4CBDR62093
Color  ROJO BEIGE
Marca  KIA   Modelo  SORENTO
Placa Anterior  </t>
        </r>
        <r>
          <rPr>
            <sz val="9"/>
            <color indexed="10"/>
            <rFont val="Tahoma"/>
            <family val="2"/>
          </rPr>
          <t>RQP-425</t>
        </r>
        <r>
          <rPr>
            <sz val="9"/>
            <color indexed="81"/>
            <rFont val="Tahoma"/>
            <family val="2"/>
          </rPr>
          <t xml:space="preserve">
Propietarios 
TAMARA PEDREROS, ALFONSO ALFREDO
CORDOVA HERRERA, MARIA
Sede  LIMA
</t>
        </r>
        <r>
          <rPr>
            <sz val="9"/>
            <color indexed="12"/>
            <rFont val="Tahoma"/>
            <family val="2"/>
          </rPr>
          <t xml:space="preserve">EX-Propietarios 
TRANSPORTE COMERCIAL Y SEGURO TAKUSHI S.A.C.
</t>
        </r>
      </text>
    </comment>
    <comment ref="K10" authorId="1">
      <text>
        <r>
          <rPr>
            <sz val="8"/>
            <color indexed="81"/>
            <rFont val="Tahoma"/>
            <family val="2"/>
          </rPr>
          <t xml:space="preserve">Llantas para camioneta Kia Sorento (2004 petrolero)  las que tiene instaladas son:
</t>
        </r>
        <r>
          <rPr>
            <sz val="8"/>
            <color indexed="10"/>
            <rFont val="Tahoma"/>
            <family val="2"/>
          </rPr>
          <t>GOODYEAR  –  WRANGLER  AT/S 
114/111S    M+ S  LT 245/75 R16</t>
        </r>
      </text>
    </comment>
    <comment ref="Q10" authorId="0">
      <text>
        <r>
          <rPr>
            <sz val="8"/>
            <color indexed="81"/>
            <rFont val="Arial"/>
            <family val="2"/>
          </rPr>
          <t>Henry Arce (Gb Reg-Callao)
Rpm:#965696232
Nextel: 51*2*3907
al 06/03/14 10:50hrs</t>
        </r>
      </text>
    </comment>
    <comment ref="AE10" authorId="2">
      <text>
        <r>
          <rPr>
            <b/>
            <sz val="12"/>
            <color indexed="81"/>
            <rFont val="Arial"/>
            <family val="2"/>
          </rPr>
          <t>167  YG-6132</t>
        </r>
      </text>
    </comment>
    <comment ref="AM10" authorId="2">
      <text>
        <r>
          <rPr>
            <b/>
            <sz val="8"/>
            <color indexed="10"/>
            <rFont val="Arial"/>
            <family val="2"/>
          </rPr>
          <t xml:space="preserve">213  ZG-6831 </t>
        </r>
        <r>
          <rPr>
            <sz val="8"/>
            <color indexed="10"/>
            <rFont val="Arial"/>
            <family val="2"/>
          </rPr>
          <t xml:space="preserve">Unidad transformada Porta-Contenedor </t>
        </r>
      </text>
    </comment>
    <comment ref="B11" authorId="2">
      <text>
        <r>
          <rPr>
            <b/>
            <sz val="12"/>
            <color indexed="81"/>
            <rFont val="Arial"/>
            <family val="2"/>
          </rPr>
          <t>109  YG-1362</t>
        </r>
      </text>
    </comment>
    <comment ref="F11" authorId="0">
      <text>
        <r>
          <rPr>
            <sz val="9"/>
            <color indexed="81"/>
            <rFont val="Tahoma"/>
            <family val="2"/>
          </rPr>
          <t xml:space="preserve">N° PLACA: </t>
        </r>
        <r>
          <rPr>
            <b/>
            <sz val="10"/>
            <color indexed="10"/>
            <rFont val="Tahoma"/>
            <family val="2"/>
          </rPr>
          <t>A1B-846</t>
        </r>
        <r>
          <rPr>
            <sz val="9"/>
            <color indexed="81"/>
            <rFont val="Tahoma"/>
            <family val="2"/>
          </rPr>
          <t xml:space="preserve">
N° SERIE: 3HSWYAHT29N132311
N° VIN: 3HSWYAHT29N132311
N° MOTOR: 35240430
COLOR: BLANCO
MARCA: INTERNATIONAL
MODELO: 7600 SBA 6X4
ESTADO: Normal
SEDE: LIMA
PROPIETARIOS TRANSPORTE COMERCIAL Y SEGURO TAKUSHI</t>
        </r>
      </text>
    </comment>
    <comment ref="J11" authorId="0">
      <text>
        <r>
          <rPr>
            <sz val="9"/>
            <color indexed="81"/>
            <rFont val="Tahoma"/>
            <family val="2"/>
          </rPr>
          <t xml:space="preserve">Nro. Placa  </t>
        </r>
        <r>
          <rPr>
            <b/>
            <sz val="10"/>
            <color indexed="10"/>
            <rFont val="Tahoma"/>
            <family val="2"/>
          </rPr>
          <t>B7Q-029</t>
        </r>
        <r>
          <rPr>
            <sz val="9"/>
            <color indexed="81"/>
            <rFont val="Tahoma"/>
            <family val="2"/>
          </rPr>
          <t xml:space="preserve">
Nro. Serie  KMHSH81WP8U364425
No. Vin  KMHSH81WP8U364425
Nro. Motor  D4EB8541493
Color  AZUL OSCURO
Marca  HYUNDAI
Modelo  SANTA FE
Placa Anterior  LGC508
Propietarios 
INMOBILIARIA Y CONSTRUCTORA LLACOCCHE S.A.C.
Sede  LIMA</t>
        </r>
      </text>
    </comment>
    <comment ref="K11" authorId="2">
      <text>
        <r>
          <rPr>
            <b/>
            <sz val="10"/>
            <color indexed="10"/>
            <rFont val="Tahoma"/>
            <family val="2"/>
          </rPr>
          <t xml:space="preserve">LGC-508 </t>
        </r>
        <r>
          <rPr>
            <b/>
            <sz val="8"/>
            <color indexed="81"/>
            <rFont val="Tahoma"/>
            <family val="2"/>
          </rPr>
          <t>Notaria PAINO</t>
        </r>
        <r>
          <rPr>
            <sz val="8"/>
            <color indexed="81"/>
            <rFont val="Tahoma"/>
            <family val="2"/>
          </rPr>
          <t xml:space="preserve">
Aramburu 668 surquillo
</t>
        </r>
        <r>
          <rPr>
            <b/>
            <sz val="8"/>
            <color indexed="81"/>
            <rFont val="Tahoma"/>
            <family val="2"/>
          </rPr>
          <t>Tlf 422-0092</t>
        </r>
        <r>
          <rPr>
            <sz val="8"/>
            <color indexed="81"/>
            <rFont val="Tahoma"/>
            <family val="2"/>
          </rPr>
          <t xml:space="preserve">
Fax 441-1791</t>
        </r>
      </text>
    </comment>
    <comment ref="AB11" authorId="2">
      <text>
        <r>
          <rPr>
            <b/>
            <sz val="12"/>
            <color indexed="81"/>
            <rFont val="Arial"/>
            <family val="2"/>
          </rPr>
          <t>109  YG-1362</t>
        </r>
      </text>
    </comment>
    <comment ref="AM11" authorId="2">
      <text>
        <r>
          <rPr>
            <b/>
            <sz val="12"/>
            <color indexed="81"/>
            <rFont val="Arial"/>
            <family val="2"/>
          </rPr>
          <t>214  ZG-6830</t>
        </r>
      </text>
    </comment>
    <comment ref="F12" authorId="0">
      <text>
        <r>
          <rPr>
            <sz val="9"/>
            <color indexed="81"/>
            <rFont val="Tahoma"/>
            <family val="2"/>
          </rPr>
          <t xml:space="preserve">N° PLACA: </t>
        </r>
        <r>
          <rPr>
            <b/>
            <sz val="10"/>
            <color indexed="10"/>
            <rFont val="Tahoma"/>
            <family val="2"/>
          </rPr>
          <t>T2Y 821</t>
        </r>
        <r>
          <rPr>
            <sz val="9"/>
            <color indexed="81"/>
            <rFont val="Tahoma"/>
            <family val="2"/>
          </rPr>
          <t xml:space="preserve">
N° SERIE: 3AKJA6CG79DAJ9481
N° VIN: 3AKJA6CG79DAJ9481
N° MOTOR: 06R0998847
COLOR: BLANCO
MARCA: FREIGHTLINER
MODELO: CL120
ESTADO: Normal
SEDE: TRUJILLO
PROPIETARIOS INDUSTRIAS DE FRICCION MASTER SAC</t>
        </r>
      </text>
    </comment>
    <comment ref="J12" authorId="0">
      <text>
        <r>
          <rPr>
            <sz val="9"/>
            <color indexed="81"/>
            <rFont val="Tahoma"/>
            <family val="2"/>
          </rPr>
          <t>Nro. Placa</t>
        </r>
        <r>
          <rPr>
            <b/>
            <sz val="10"/>
            <color indexed="10"/>
            <rFont val="Tahoma"/>
            <family val="2"/>
          </rPr>
          <t xml:space="preserve">  AP-7178</t>
        </r>
        <r>
          <rPr>
            <sz val="9"/>
            <color indexed="81"/>
            <rFont val="Tahoma"/>
            <family val="2"/>
          </rPr>
          <t xml:space="preserve">
Nro. Serie  NLA10B10117
Nro. Motor  PJ41631  Color  MARFIL
Marca  DATSUN  Modelo  NLA10-XDL
Propietarios TRANSCOSTA S.A.C.
Sede  HUANCAYO
</t>
        </r>
        <r>
          <rPr>
            <b/>
            <sz val="9"/>
            <color indexed="10"/>
            <rFont val="Tahoma"/>
            <family val="2"/>
          </rPr>
          <t>VENDIDA COMO CHATARRA AL 
LUN, 07/11/2016 (ATP).</t>
        </r>
      </text>
    </comment>
    <comment ref="L12" authorId="1">
      <text>
        <r>
          <rPr>
            <sz val="9"/>
            <color indexed="81"/>
            <rFont val="Tahoma"/>
            <family val="2"/>
          </rPr>
          <t xml:space="preserve">Seguros </t>
        </r>
        <r>
          <rPr>
            <b/>
            <sz val="9"/>
            <color indexed="81"/>
            <rFont val="Tahoma"/>
            <family val="2"/>
          </rPr>
          <t xml:space="preserve">RIMAC </t>
        </r>
        <r>
          <rPr>
            <sz val="9"/>
            <color indexed="81"/>
            <rFont val="Tahoma"/>
            <family val="2"/>
          </rPr>
          <t>S/. 125.00= en TOTUS de Canta Callao</t>
        </r>
      </text>
    </comment>
    <comment ref="U12" authorId="1">
      <text>
        <r>
          <rPr>
            <sz val="10"/>
            <color indexed="81"/>
            <rFont val="Arial Narrow"/>
            <family val="2"/>
          </rPr>
          <t>Usuario : cesar_2008
Key: Cq021515256529</t>
        </r>
      </text>
    </comment>
    <comment ref="AE12" authorId="0">
      <text>
        <r>
          <rPr>
            <b/>
            <sz val="10"/>
            <color indexed="81"/>
            <rFont val="Tahoma"/>
            <family val="2"/>
          </rPr>
          <t>169  YG-6033</t>
        </r>
      </text>
    </comment>
    <comment ref="AM12" authorId="2">
      <text>
        <r>
          <rPr>
            <sz val="9"/>
            <color indexed="81"/>
            <rFont val="Arial Narrow"/>
            <family val="2"/>
          </rPr>
          <t>Unidad vendida a GAVELANO por regularizar al 03/09/13 ICC</t>
        </r>
      </text>
    </comment>
    <comment ref="B13" authorId="2">
      <text>
        <r>
          <rPr>
            <b/>
            <sz val="12"/>
            <color indexed="81"/>
            <rFont val="Arial"/>
            <family val="2"/>
          </rPr>
          <t>111  YG-1440</t>
        </r>
      </text>
    </comment>
    <comment ref="F13" authorId="0">
      <text>
        <r>
          <rPr>
            <sz val="9"/>
            <color indexed="81"/>
            <rFont val="Tahoma"/>
            <family val="2"/>
          </rPr>
          <t xml:space="preserve">N° PLACA: </t>
        </r>
        <r>
          <rPr>
            <b/>
            <sz val="10"/>
            <color indexed="10"/>
            <rFont val="Tahoma"/>
            <family val="2"/>
          </rPr>
          <t>T4P-891</t>
        </r>
        <r>
          <rPr>
            <sz val="9"/>
            <color indexed="81"/>
            <rFont val="Tahoma"/>
            <family val="2"/>
          </rPr>
          <t xml:space="preserve">
N° SERIE: 3AKJA6CG59DAJ9477
N° VIN: 3AKJA6CG59DAJ9477
N° MOTOR: 06R0999043
COLOR: BLANCO
MARCA: FREIGHTLINER
MODELO: CL120
ESTADO: Normal
SEDE: TRUJILLO
PROPIETARIOS INDUSTRIAS DE FRICCION MASTER SAC</t>
        </r>
      </text>
    </comment>
    <comment ref="J13" authorId="0">
      <text>
        <r>
          <rPr>
            <sz val="9"/>
            <color indexed="81"/>
            <rFont val="Tahoma"/>
            <family val="2"/>
          </rPr>
          <t xml:space="preserve">Nro. Placa  </t>
        </r>
        <r>
          <rPr>
            <b/>
            <sz val="10"/>
            <color indexed="10"/>
            <rFont val="Tahoma"/>
            <family val="2"/>
          </rPr>
          <t>T6N-864</t>
        </r>
        <r>
          <rPr>
            <sz val="9"/>
            <color indexed="81"/>
            <rFont val="Tahoma"/>
            <family val="2"/>
          </rPr>
          <t xml:space="preserve">
Nro. Serie  7AT1JGU24345
Nro. Motor  1B0661602
Color  VERD.CLAR BLANCO
Marca  FORD  Modelo  F-100
Placa Anterior </t>
        </r>
        <r>
          <rPr>
            <sz val="9"/>
            <color indexed="10"/>
            <rFont val="Tahoma"/>
            <family val="2"/>
          </rPr>
          <t xml:space="preserve"> PD-2298</t>
        </r>
        <r>
          <rPr>
            <sz val="9"/>
            <color indexed="81"/>
            <rFont val="Tahoma"/>
            <family val="2"/>
          </rPr>
          <t xml:space="preserve">
Propietarios 
TRANSCOSTA S.A.
Sede  TRUJILLO</t>
        </r>
      </text>
    </comment>
    <comment ref="U13" authorId="1">
      <text>
        <r>
          <rPr>
            <sz val="10"/>
            <color indexed="81"/>
            <rFont val="Arial Narrow"/>
            <family val="2"/>
          </rPr>
          <t>Usuario : cesar_2008
Key: Cq021515256529</t>
        </r>
      </text>
    </comment>
    <comment ref="AB13" authorId="2">
      <text>
        <r>
          <rPr>
            <b/>
            <sz val="12"/>
            <color indexed="81"/>
            <rFont val="Arial"/>
            <family val="2"/>
          </rPr>
          <t>111  YG-1440</t>
        </r>
      </text>
    </comment>
    <comment ref="AE13" authorId="0">
      <text>
        <r>
          <rPr>
            <sz val="10"/>
            <color indexed="10"/>
            <rFont val="Tahoma"/>
            <family val="2"/>
          </rPr>
          <t>170  YG-6034</t>
        </r>
      </text>
    </comment>
    <comment ref="AM13" authorId="1">
      <text>
        <r>
          <rPr>
            <sz val="10"/>
            <color indexed="81"/>
            <rFont val="Tahoma"/>
            <family val="2"/>
          </rPr>
          <t>ZG-</t>
        </r>
        <r>
          <rPr>
            <sz val="9"/>
            <color indexed="81"/>
            <rFont val="Tahoma"/>
            <family val="2"/>
          </rPr>
          <t>6935 Para Alquiler a GAVELANO 03/09/13 I.C.C.</t>
        </r>
      </text>
    </comment>
    <comment ref="F14" authorId="0">
      <text>
        <r>
          <rPr>
            <sz val="9"/>
            <color indexed="81"/>
            <rFont val="Tahoma"/>
            <family val="2"/>
          </rPr>
          <t xml:space="preserve">N° PLACA: </t>
        </r>
        <r>
          <rPr>
            <b/>
            <sz val="10"/>
            <color indexed="10"/>
            <rFont val="Tahoma"/>
            <family val="2"/>
          </rPr>
          <t>ALW-703</t>
        </r>
        <r>
          <rPr>
            <sz val="9"/>
            <color indexed="81"/>
            <rFont val="Tahoma"/>
            <family val="2"/>
          </rPr>
          <t xml:space="preserve">
N° SERIE: 3WKDD40X6GF723911
N° VIN: 3WKDD40X6GF723911
N° MOTOR: 79871123
COLOR: ROJO
MARCA: KENWORTH
MODELO: T800
ESTADO: EN CIRCULACION
SEDE: LIMA
PROPIETARIOS TRANSPORTES DUO S.A.C.</t>
        </r>
      </text>
    </comment>
    <comment ref="G14" authorId="0">
      <text>
        <r>
          <rPr>
            <sz val="8"/>
            <color indexed="81"/>
            <rFont val="Tahoma"/>
            <family val="2"/>
          </rPr>
          <t xml:space="preserve">PLACA </t>
        </r>
        <r>
          <rPr>
            <sz val="8"/>
            <color indexed="10"/>
            <rFont val="Tahoma"/>
            <family val="2"/>
          </rPr>
          <t>ALW-703</t>
        </r>
        <r>
          <rPr>
            <sz val="8"/>
            <color indexed="81"/>
            <rFont val="Tahoma"/>
            <family val="2"/>
          </rPr>
          <t xml:space="preserve">   </t>
        </r>
        <r>
          <rPr>
            <b/>
            <sz val="8"/>
            <color indexed="81"/>
            <rFont val="Tahoma"/>
            <family val="2"/>
          </rPr>
          <t>CITV</t>
        </r>
        <r>
          <rPr>
            <sz val="8"/>
            <color indexed="81"/>
            <rFont val="Tahoma"/>
            <family val="2"/>
          </rPr>
          <t xml:space="preserve">
NRO DE CERTIFICADO C-2019-013-079-003090
VIGENTE DESDE  19/02/2019
VIGENTE HASTA  19/02/2020
RESULTADO INSPECCIÓN  APROBADO
ESTADO VIGENTE
</t>
        </r>
      </text>
    </comment>
    <comment ref="J14" authorId="0">
      <text>
        <r>
          <rPr>
            <sz val="9"/>
            <color indexed="81"/>
            <rFont val="Tahoma"/>
            <family val="2"/>
          </rPr>
          <t xml:space="preserve">Nro. Placa  </t>
        </r>
        <r>
          <rPr>
            <b/>
            <sz val="10"/>
            <color indexed="10"/>
            <rFont val="Tahoma"/>
            <family val="2"/>
          </rPr>
          <t>F5D-932</t>
        </r>
        <r>
          <rPr>
            <sz val="9"/>
            <color indexed="81"/>
            <rFont val="Tahoma"/>
            <family val="2"/>
          </rPr>
          <t xml:space="preserve">
Nro. Serie  UBGD21402378
Nro. Motor  TD27300910
Color  BLANCO   Marca  NISSAN
Modelo  11ZUBLGD21SFA
Placa Anterior  </t>
        </r>
        <r>
          <rPr>
            <sz val="10"/>
            <color indexed="10"/>
            <rFont val="Tahoma"/>
            <family val="2"/>
          </rPr>
          <t>OO-6373</t>
        </r>
        <r>
          <rPr>
            <sz val="9"/>
            <color indexed="81"/>
            <rFont val="Tahoma"/>
            <family val="2"/>
          </rPr>
          <t xml:space="preserve">
Propietarios 
TRANSPORTE COMERCIAL Y SEGURO TAKUSHI S.A.C.</t>
        </r>
      </text>
    </comment>
    <comment ref="U14" authorId="1">
      <text>
        <r>
          <rPr>
            <sz val="10"/>
            <color indexed="81"/>
            <rFont val="Arial"/>
            <family val="2"/>
          </rPr>
          <t>8243700-7008243-2</t>
        </r>
      </text>
    </comment>
    <comment ref="J15" authorId="2">
      <text>
        <r>
          <rPr>
            <sz val="9"/>
            <color indexed="81"/>
            <rFont val="Tahoma"/>
            <family val="2"/>
          </rPr>
          <t xml:space="preserve">Nro. Placa  </t>
        </r>
        <r>
          <rPr>
            <b/>
            <sz val="10"/>
            <color indexed="10"/>
            <rFont val="Tahoma"/>
            <family val="2"/>
          </rPr>
          <t>GQ-3953</t>
        </r>
        <r>
          <rPr>
            <sz val="9"/>
            <color indexed="81"/>
            <rFont val="Tahoma"/>
            <family val="2"/>
          </rPr>
          <t xml:space="preserve">
Nro. Serie  TT1419009185
Nro. Motor  3T6395303
Color  PLATEADO
Marca  TOYOTA
Modelo  CORONA
Propietarios 
INDUSTR. COMERCIAL ARIES E.I.R.L.
</t>
        </r>
      </text>
    </comment>
    <comment ref="K15" authorId="2">
      <text>
        <r>
          <rPr>
            <b/>
            <sz val="8"/>
            <color indexed="81"/>
            <rFont val="Tahoma"/>
            <family val="2"/>
          </rPr>
          <t>Unidad Vendida a JOSE PAZ DELGADO     (JMC-26/09/2013)</t>
        </r>
      </text>
    </comment>
    <comment ref="Q15" authorId="0">
      <text>
        <r>
          <rPr>
            <sz val="8"/>
            <color indexed="81"/>
            <rFont val="Tahoma"/>
            <family val="2"/>
          </rPr>
          <t xml:space="preserve">Para Errores:
</t>
        </r>
        <r>
          <rPr>
            <sz val="10"/>
            <color indexed="81"/>
            <rFont val="Arial Narrow"/>
            <family val="2"/>
          </rPr>
          <t>Avriguar IP en www.andy21.com/IP
Enviar IP a soporte@perucreativo.con</t>
        </r>
      </text>
    </comment>
    <comment ref="U15" authorId="2">
      <text>
        <r>
          <rPr>
            <sz val="8"/>
            <color indexed="81"/>
            <rFont val="Tahoma"/>
            <family val="2"/>
          </rPr>
          <t xml:space="preserve">CPANEL
</t>
        </r>
        <r>
          <rPr>
            <sz val="10"/>
            <color indexed="81"/>
            <rFont val="Tahoma"/>
            <family val="2"/>
          </rPr>
          <t>Usuario :TRANSCOS
Key: tk204922925920</t>
        </r>
      </text>
    </comment>
    <comment ref="AM15" authorId="0">
      <text>
        <r>
          <rPr>
            <b/>
            <sz val="10"/>
            <color indexed="81"/>
            <rFont val="Tahoma"/>
            <family val="2"/>
          </rPr>
          <t>218  ZG-7093</t>
        </r>
      </text>
    </comment>
    <comment ref="B16" authorId="0">
      <text>
        <r>
          <rPr>
            <b/>
            <sz val="10"/>
            <color indexed="81"/>
            <rFont val="Arial"/>
            <family val="2"/>
          </rPr>
          <t>114  YG-1396</t>
        </r>
      </text>
    </comment>
    <comment ref="J16" authorId="2">
      <text>
        <r>
          <rPr>
            <sz val="9"/>
            <color indexed="81"/>
            <rFont val="Tahoma"/>
            <family val="2"/>
          </rPr>
          <t>Placa :</t>
        </r>
        <r>
          <rPr>
            <b/>
            <sz val="9"/>
            <color indexed="81"/>
            <rFont val="Tahoma"/>
            <family val="2"/>
          </rPr>
          <t xml:space="preserve"> </t>
        </r>
        <r>
          <rPr>
            <b/>
            <sz val="9"/>
            <color indexed="10"/>
            <rFont val="Tahoma"/>
            <family val="2"/>
          </rPr>
          <t>A5O-181</t>
        </r>
        <r>
          <rPr>
            <sz val="9"/>
            <color indexed="81"/>
            <rFont val="Tahoma"/>
            <family val="2"/>
          </rPr>
          <t xml:space="preserve">
Tipo Uso : Vehiculos Particulares (Categoria M)
Categoría : M1
Carrocería : SUV
Marca : SUZUKI
Modelo  : GRAND NOMADE
Año Mod : 2010
Año Fab : 2010
N° Versión : 4X2
N° Serie : JS3TE04V6A4602398
N° de VIN : JS3TE04V6A4602398
Color 1 : PLATA
Color 2 : ##########
Color 3 : ##########
N° Motor : J24B1064382
Tipo Combus : GASOLINA
Pot. Motor : 122@6000
N° Cilindros : 4
Cilindrada : 2.4 L
Peso Neto : 1.59 tn
Peso Bruto : 2.1 tn
Carga Útil : 0.51 tn
N° Asientos  : 4
N° Pasajer. : 4
N° Partida : 51977605
N° Ejes : 2
N° Ruedas : 4
Longitud : 4.5 mt
Ancho : 1.81 mt
Altura : 1.68 mt
Form. Rodan. : 4X2
Inmatriculac. : 18-06-2010
Fec. Prop : ##########
Condición : SIN DEFINIR</t>
        </r>
      </text>
    </comment>
    <comment ref="AM16" authorId="2">
      <text>
        <r>
          <rPr>
            <sz val="9"/>
            <color indexed="81"/>
            <rFont val="Arial Narrow"/>
            <family val="2"/>
          </rPr>
          <t xml:space="preserve">Unidad vendida al 07/12/2012 Fact_001-000970 ICC </t>
        </r>
        <r>
          <rPr>
            <sz val="12"/>
            <color indexed="10"/>
            <rFont val="Arial Narrow"/>
            <family val="2"/>
          </rPr>
          <t xml:space="preserve"> [</t>
        </r>
        <r>
          <rPr>
            <b/>
            <sz val="11"/>
            <color indexed="10"/>
            <rFont val="Arial Narrow"/>
            <family val="2"/>
          </rPr>
          <t xml:space="preserve">C3R-987 </t>
        </r>
        <r>
          <rPr>
            <sz val="8"/>
            <color indexed="10"/>
            <rFont val="Arial Narrow"/>
            <family val="2"/>
          </rPr>
          <t>Propietarios CRUZ CUSIPUMA, PEDRO MARTIN FAJARDO MENDOZA, BEATRIZ MATILDE</t>
        </r>
        <r>
          <rPr>
            <sz val="12"/>
            <color indexed="10"/>
            <rFont val="Arial Narrow"/>
            <family val="2"/>
          </rPr>
          <t>]</t>
        </r>
      </text>
    </comment>
    <comment ref="J17" authorId="2">
      <text>
        <r>
          <rPr>
            <sz val="9"/>
            <color indexed="81"/>
            <rFont val="Tahoma"/>
            <family val="2"/>
          </rPr>
          <t xml:space="preserve">Nro. Placa  </t>
        </r>
        <r>
          <rPr>
            <b/>
            <sz val="10"/>
            <color indexed="10"/>
            <rFont val="Tahoma"/>
            <family val="2"/>
          </rPr>
          <t>D8P-254</t>
        </r>
        <r>
          <rPr>
            <sz val="9"/>
            <color indexed="81"/>
            <rFont val="Tahoma"/>
            <family val="2"/>
          </rPr>
          <t xml:space="preserve">
Nro. Serie  RX800022981
Nro. Motor  22R3261577
Color  AZUL OSCURO/METALICO
Marca  TOYOTA Modelo  CRESSIDA
Placa Anterior  </t>
        </r>
        <r>
          <rPr>
            <sz val="10"/>
            <color indexed="10"/>
            <rFont val="Tahoma"/>
            <family val="2"/>
          </rPr>
          <t>LQ-2763</t>
        </r>
        <r>
          <rPr>
            <sz val="9"/>
            <color indexed="81"/>
            <rFont val="Tahoma"/>
            <family val="2"/>
          </rPr>
          <t xml:space="preserve">
Propietarios 
CARMEN BRANDO E.I.R.L.
</t>
        </r>
        <r>
          <rPr>
            <sz val="9"/>
            <color indexed="44"/>
            <rFont val="Tahoma"/>
            <family val="2"/>
          </rPr>
          <t xml:space="preserve">Propietarios 
MENDEZ MALLQUI, EDWIN CESAR
Propietarios 
QUISPE RAMOS, CESAR ENRIQUE
</t>
        </r>
      </text>
    </comment>
    <comment ref="Q17" authorId="2">
      <text>
        <r>
          <rPr>
            <sz val="10"/>
            <color indexed="81"/>
            <rFont val="Arial"/>
            <family val="2"/>
          </rPr>
          <t>User: 20492292592
Key: 4477</t>
        </r>
      </text>
    </comment>
    <comment ref="U17" authorId="2">
      <text>
        <r>
          <rPr>
            <sz val="8"/>
            <color indexed="81"/>
            <rFont val="Tahoma"/>
            <family val="2"/>
          </rPr>
          <t xml:space="preserve">CLAVE SOL
</t>
        </r>
        <r>
          <rPr>
            <sz val="10"/>
            <color indexed="81"/>
            <rFont val="Tahoma"/>
            <family val="2"/>
          </rPr>
          <t>Usuario :JECDORTA
Key: eassemage</t>
        </r>
      </text>
    </comment>
    <comment ref="B18" authorId="0">
      <text>
        <r>
          <rPr>
            <sz val="10"/>
            <color indexed="81"/>
            <rFont val="Tahoma"/>
            <family val="2"/>
          </rPr>
          <t>116  YG-1345</t>
        </r>
      </text>
    </comment>
    <comment ref="F18" authorId="0">
      <text>
        <r>
          <rPr>
            <b/>
            <sz val="10"/>
            <color indexed="81"/>
            <rFont val="Arial"/>
            <family val="2"/>
          </rPr>
          <t>200  ZG-6706</t>
        </r>
      </text>
    </comment>
    <comment ref="G18" authorId="1">
      <text>
        <r>
          <rPr>
            <b/>
            <sz val="9"/>
            <color indexed="81"/>
            <rFont val="Tahoma"/>
            <family val="2"/>
          </rPr>
          <t xml:space="preserve">224  ZG-7861
 </t>
        </r>
        <r>
          <rPr>
            <sz val="9"/>
            <color indexed="81"/>
            <rFont val="Tahoma"/>
            <family val="2"/>
          </rPr>
          <t>Unidad (Cmb 222Tc x 224Tk)</t>
        </r>
      </text>
    </comment>
    <comment ref="H18" authorId="2">
      <text>
        <r>
          <rPr>
            <b/>
            <sz val="10"/>
            <color indexed="81"/>
            <rFont val="Tahoma"/>
            <family val="2"/>
          </rPr>
          <t>302  ZG-1462</t>
        </r>
      </text>
    </comment>
    <comment ref="I18" authorId="2">
      <text>
        <r>
          <rPr>
            <b/>
            <sz val="8"/>
            <color indexed="10"/>
            <rFont val="Arial"/>
            <family val="2"/>
          </rPr>
          <t>EX T-213  ZG-6831</t>
        </r>
        <r>
          <rPr>
            <b/>
            <sz val="8"/>
            <color indexed="81"/>
            <rFont val="Arial"/>
            <family val="2"/>
          </rPr>
          <t xml:space="preserve"> </t>
        </r>
        <r>
          <rPr>
            <sz val="8"/>
            <color indexed="81"/>
            <rFont val="Arial"/>
            <family val="2"/>
          </rPr>
          <t>Unidad transformada Porta-Contenedor (Repotenciada)</t>
        </r>
      </text>
    </comment>
    <comment ref="Q18" authorId="2">
      <text>
        <r>
          <rPr>
            <sz val="10"/>
            <color indexed="81"/>
            <rFont val="Arial"/>
            <family val="2"/>
          </rPr>
          <t>Rum  :   0024888   
Contraseña  :   003663</t>
        </r>
      </text>
    </comment>
    <comment ref="AB18" authorId="0">
      <text>
        <r>
          <rPr>
            <sz val="10"/>
            <color indexed="81"/>
            <rFont val="Tahoma"/>
            <family val="2"/>
          </rPr>
          <t>116  YG-1345</t>
        </r>
      </text>
    </comment>
    <comment ref="AM18" authorId="2">
      <text>
        <r>
          <rPr>
            <b/>
            <sz val="10"/>
            <color indexed="81"/>
            <rFont val="Tahoma"/>
            <family val="2"/>
          </rPr>
          <t>221  ZG-7610</t>
        </r>
      </text>
    </comment>
    <comment ref="F19" authorId="1">
      <text>
        <r>
          <rPr>
            <sz val="10"/>
            <color indexed="81"/>
            <rFont val="Tahoma"/>
            <family val="2"/>
          </rPr>
          <t>ZG-6709</t>
        </r>
        <r>
          <rPr>
            <sz val="9"/>
            <color indexed="81"/>
            <rFont val="Tahoma"/>
            <family val="2"/>
          </rPr>
          <t xml:space="preserve">
</t>
        </r>
      </text>
    </comment>
    <comment ref="G19" authorId="0">
      <text>
        <r>
          <rPr>
            <b/>
            <sz val="10"/>
            <color indexed="81"/>
            <rFont val="Tahoma"/>
            <family val="2"/>
          </rPr>
          <t>225  ZG-7863</t>
        </r>
      </text>
    </comment>
    <comment ref="H19" authorId="2">
      <text>
        <r>
          <rPr>
            <b/>
            <sz val="10"/>
            <color indexed="81"/>
            <rFont val="Tahoma"/>
            <family val="2"/>
          </rPr>
          <t>308  ZG-1432</t>
        </r>
      </text>
    </comment>
    <comment ref="I19" authorId="0">
      <text>
        <r>
          <rPr>
            <b/>
            <sz val="8"/>
            <color indexed="81"/>
            <rFont val="Tahoma"/>
            <family val="2"/>
          </rPr>
          <t>CesarQ:</t>
        </r>
        <r>
          <rPr>
            <sz val="8"/>
            <color indexed="81"/>
            <rFont val="Tahoma"/>
            <family val="2"/>
          </rPr>
          <t xml:space="preserve">
</t>
        </r>
      </text>
    </comment>
    <comment ref="J19" authorId="2">
      <text>
        <r>
          <rPr>
            <sz val="8"/>
            <color indexed="81"/>
            <rFont val="Tahoma"/>
            <family val="2"/>
          </rPr>
          <t>Placa Antigua</t>
        </r>
        <r>
          <rPr>
            <sz val="8"/>
            <color indexed="81"/>
            <rFont val="Tahoma"/>
            <family val="2"/>
          </rPr>
          <t xml:space="preserve">
</t>
        </r>
        <r>
          <rPr>
            <b/>
            <sz val="10"/>
            <color indexed="81"/>
            <rFont val="Tahoma"/>
            <family val="2"/>
          </rPr>
          <t>LQ-2763</t>
        </r>
      </text>
    </comment>
    <comment ref="AM19" authorId="1">
      <text>
        <r>
          <rPr>
            <b/>
            <sz val="9"/>
            <color indexed="81"/>
            <rFont val="Tahoma"/>
            <family val="2"/>
          </rPr>
          <t xml:space="preserve">224  ZG-7861
 </t>
        </r>
        <r>
          <rPr>
            <sz val="9"/>
            <color indexed="81"/>
            <rFont val="Tahoma"/>
            <family val="2"/>
          </rPr>
          <t>Unidad (Cmb 222Tc x 224Tk)</t>
        </r>
      </text>
    </comment>
    <comment ref="F20" authorId="2">
      <text>
        <r>
          <rPr>
            <sz val="9"/>
            <color indexed="81"/>
            <rFont val="Arial"/>
            <family val="2"/>
          </rPr>
          <t xml:space="preserve">EX 202  ZG-6710
UNIDAD REPOTENCIADA Y REEMPLACADA POR T-238 (14/01/2020)
</t>
        </r>
      </text>
    </comment>
    <comment ref="G20" authorId="2">
      <text>
        <r>
          <rPr>
            <b/>
            <sz val="8"/>
            <color indexed="81"/>
            <rFont val="Tahoma"/>
            <family val="2"/>
          </rPr>
          <t>226  ZG-8181</t>
        </r>
      </text>
    </comment>
    <comment ref="H20" authorId="0">
      <text>
        <r>
          <rPr>
            <sz val="10"/>
            <color indexed="10"/>
            <rFont val="Arial"/>
            <family val="2"/>
          </rPr>
          <t>315  ZG-1507</t>
        </r>
      </text>
    </comment>
    <comment ref="I20" authorId="0">
      <text>
        <r>
          <rPr>
            <b/>
            <sz val="8"/>
            <color indexed="10"/>
            <rFont val="Tahoma"/>
            <family val="2"/>
          </rPr>
          <t xml:space="preserve">EX T-234  D4H-997 /-/ </t>
        </r>
        <r>
          <rPr>
            <sz val="8"/>
            <color indexed="10"/>
            <rFont val="Tahoma"/>
            <family val="2"/>
          </rPr>
          <t>ZI-1274</t>
        </r>
        <r>
          <rPr>
            <b/>
            <sz val="8"/>
            <color indexed="81"/>
            <rFont val="Tahoma"/>
            <family val="2"/>
          </rPr>
          <t xml:space="preserve"> </t>
        </r>
        <r>
          <rPr>
            <sz val="8"/>
            <color indexed="81"/>
            <rFont val="Tahoma"/>
            <family val="2"/>
          </rPr>
          <t>Unidad transformada Porta-Contenedor (Repotenciada en base Oct-2018)</t>
        </r>
      </text>
    </comment>
    <comment ref="Q20" authorId="2">
      <text>
        <r>
          <rPr>
            <sz val="8"/>
            <color indexed="81"/>
            <rFont val="Tahoma"/>
            <family val="2"/>
          </rPr>
          <t xml:space="preserve">Nombre de Ususario : Takushi
Contraseña : TakushiSAC-2019
antes Tk-SAC2000
</t>
        </r>
      </text>
    </comment>
    <comment ref="AG20" authorId="2">
      <text>
        <r>
          <rPr>
            <b/>
            <sz val="10"/>
            <color indexed="81"/>
            <rFont val="Tahoma"/>
            <family val="2"/>
          </rPr>
          <t>221  ZG-7610</t>
        </r>
      </text>
    </comment>
    <comment ref="AI20" authorId="2">
      <text>
        <r>
          <rPr>
            <b/>
            <sz val="10"/>
            <color indexed="81"/>
            <rFont val="Tahoma"/>
            <family val="2"/>
          </rPr>
          <t>302  ZG-1462</t>
        </r>
      </text>
    </comment>
    <comment ref="AM20" authorId="0">
      <text>
        <r>
          <rPr>
            <b/>
            <sz val="10"/>
            <color indexed="81"/>
            <rFont val="Tahoma"/>
            <family val="2"/>
          </rPr>
          <t>225  ZG-7863</t>
        </r>
      </text>
    </comment>
    <comment ref="B21" authorId="0">
      <text>
        <r>
          <rPr>
            <sz val="10"/>
            <color indexed="81"/>
            <rFont val="Tahoma"/>
            <family val="2"/>
          </rPr>
          <t>119  YG-1395</t>
        </r>
      </text>
    </comment>
    <comment ref="F21" authorId="2">
      <text>
        <r>
          <rPr>
            <b/>
            <sz val="12"/>
            <color indexed="81"/>
            <rFont val="Arial"/>
            <family val="2"/>
          </rPr>
          <t>204  ZG-6712</t>
        </r>
      </text>
    </comment>
    <comment ref="G21" authorId="1">
      <text>
        <r>
          <rPr>
            <sz val="10"/>
            <color indexed="81"/>
            <rFont val="Tahoma"/>
            <family val="2"/>
          </rPr>
          <t>Ex-</t>
        </r>
        <r>
          <rPr>
            <b/>
            <sz val="10"/>
            <color indexed="81"/>
            <rFont val="Tahoma"/>
            <family val="2"/>
          </rPr>
          <t>ZG-8551</t>
        </r>
        <r>
          <rPr>
            <sz val="10"/>
            <color indexed="81"/>
            <rFont val="Tahoma"/>
            <family val="2"/>
          </rPr>
          <t xml:space="preserve">, se transforma en Portacontenedor   
P-404 </t>
        </r>
        <r>
          <rPr>
            <b/>
            <sz val="10"/>
            <color indexed="81"/>
            <rFont val="Tahoma"/>
            <family val="2"/>
          </rPr>
          <t>ALM-980</t>
        </r>
        <r>
          <rPr>
            <sz val="10"/>
            <color indexed="81"/>
            <rFont val="Tahoma"/>
            <family val="2"/>
          </rPr>
          <t xml:space="preserve"> (Feb_2019)</t>
        </r>
      </text>
    </comment>
    <comment ref="H21" authorId="2">
      <text>
        <r>
          <rPr>
            <b/>
            <sz val="10"/>
            <color indexed="81"/>
            <rFont val="Tahoma"/>
            <family val="2"/>
          </rPr>
          <t>324  ZG-1682</t>
        </r>
      </text>
    </comment>
    <comment ref="I21" authorId="0">
      <text>
        <r>
          <rPr>
            <b/>
            <sz val="8"/>
            <color indexed="10"/>
            <rFont val="Tahoma"/>
            <family val="2"/>
          </rPr>
          <t xml:space="preserve">EX T-227  B1Y-975 /-/ </t>
        </r>
        <r>
          <rPr>
            <sz val="8"/>
            <color indexed="10"/>
            <rFont val="Tahoma"/>
            <family val="2"/>
          </rPr>
          <t>ZG-8551</t>
        </r>
        <r>
          <rPr>
            <b/>
            <sz val="8"/>
            <color indexed="81"/>
            <rFont val="Tahoma"/>
            <family val="2"/>
          </rPr>
          <t xml:space="preserve"> </t>
        </r>
        <r>
          <rPr>
            <sz val="8"/>
            <color indexed="81"/>
            <rFont val="Tahoma"/>
            <family val="2"/>
          </rPr>
          <t>Unidad transformada Porta-Contenedor (Repotenciada en base Feb-2019)</t>
        </r>
      </text>
    </comment>
    <comment ref="AB21" authorId="0">
      <text>
        <r>
          <rPr>
            <sz val="10"/>
            <color indexed="81"/>
            <rFont val="Tahoma"/>
            <family val="2"/>
          </rPr>
          <t>119  YG-1395</t>
        </r>
      </text>
    </comment>
    <comment ref="AE21" authorId="1">
      <text>
        <r>
          <rPr>
            <sz val="10"/>
            <color indexed="81"/>
            <rFont val="Tahoma"/>
            <family val="2"/>
          </rPr>
          <t>ZG-6709</t>
        </r>
        <r>
          <rPr>
            <sz val="9"/>
            <color indexed="81"/>
            <rFont val="Tahoma"/>
            <family val="2"/>
          </rPr>
          <t xml:space="preserve">
</t>
        </r>
      </text>
    </comment>
    <comment ref="AG21" authorId="1">
      <text>
        <r>
          <rPr>
            <b/>
            <sz val="9"/>
            <color indexed="81"/>
            <rFont val="Tahoma"/>
            <family val="2"/>
          </rPr>
          <t xml:space="preserve">224  ZG-7861
 </t>
        </r>
        <r>
          <rPr>
            <sz val="9"/>
            <color indexed="81"/>
            <rFont val="Tahoma"/>
            <family val="2"/>
          </rPr>
          <t>Unidad (Cmb 222Tc x 224Tk)</t>
        </r>
      </text>
    </comment>
    <comment ref="AI21" authorId="2">
      <text>
        <r>
          <rPr>
            <b/>
            <sz val="10"/>
            <color indexed="81"/>
            <rFont val="Tahoma"/>
            <family val="2"/>
          </rPr>
          <t>308  ZG-1432</t>
        </r>
      </text>
    </comment>
    <comment ref="AM21" authorId="2">
      <text>
        <r>
          <rPr>
            <b/>
            <sz val="8"/>
            <color indexed="81"/>
            <rFont val="Tahoma"/>
            <family val="2"/>
          </rPr>
          <t>226  ZG-8181</t>
        </r>
      </text>
    </comment>
    <comment ref="F22" authorId="1">
      <text>
        <r>
          <rPr>
            <b/>
            <sz val="10"/>
            <color indexed="10"/>
            <rFont val="Tahoma"/>
            <family val="2"/>
          </rPr>
          <t xml:space="preserve">C4J-973 </t>
        </r>
        <r>
          <rPr>
            <sz val="9"/>
            <color indexed="81"/>
            <rFont val="Tahoma"/>
            <family val="2"/>
          </rPr>
          <t xml:space="preserve">
Propietario:</t>
        </r>
        <r>
          <rPr>
            <sz val="8"/>
            <color indexed="81"/>
            <rFont val="Tahoma"/>
            <family val="2"/>
          </rPr>
          <t xml:space="preserve"> EMPRESA DE TRANSPORTES E INVERSIONES GENERALES M &amp; F SAC  Ex_Unidad_TRANSCOSTA </t>
        </r>
      </text>
    </comment>
    <comment ref="G22" authorId="2">
      <text>
        <r>
          <rPr>
            <b/>
            <sz val="10"/>
            <color indexed="81"/>
            <rFont val="Tahoma"/>
            <family val="2"/>
          </rPr>
          <t>228  ZG-8712</t>
        </r>
      </text>
    </comment>
    <comment ref="H22" authorId="0">
      <text>
        <r>
          <rPr>
            <sz val="10"/>
            <color indexed="10"/>
            <rFont val="Tahoma"/>
            <family val="2"/>
          </rPr>
          <t>332  ZG-3004</t>
        </r>
      </text>
    </comment>
    <comment ref="Q22" authorId="0">
      <text>
        <r>
          <rPr>
            <b/>
            <sz val="8"/>
            <color indexed="81"/>
            <rFont val="Tahoma"/>
            <family val="2"/>
          </rPr>
          <t>CesarQ:</t>
        </r>
        <r>
          <rPr>
            <sz val="8"/>
            <color indexed="81"/>
            <rFont val="Tahoma"/>
            <family val="2"/>
          </rPr>
          <t xml:space="preserve">
</t>
        </r>
      </text>
    </comment>
    <comment ref="AE22" authorId="2">
      <text>
        <r>
          <rPr>
            <b/>
            <sz val="12"/>
            <color indexed="81"/>
            <rFont val="Arial"/>
            <family val="2"/>
          </rPr>
          <t>202  ZG-6710</t>
        </r>
      </text>
    </comment>
    <comment ref="AG22" authorId="0">
      <text>
        <r>
          <rPr>
            <b/>
            <sz val="10"/>
            <color indexed="81"/>
            <rFont val="Tahoma"/>
            <family val="2"/>
          </rPr>
          <t>225  ZG-7863</t>
        </r>
      </text>
    </comment>
    <comment ref="AM22" authorId="1">
      <text>
        <r>
          <rPr>
            <sz val="10"/>
            <color indexed="81"/>
            <rFont val="Tahoma"/>
            <family val="2"/>
          </rPr>
          <t>ZG-8551</t>
        </r>
      </text>
    </comment>
    <comment ref="B23" authorId="3">
      <text>
        <r>
          <rPr>
            <sz val="10"/>
            <color indexed="81"/>
            <rFont val="Arial"/>
            <family val="2"/>
          </rPr>
          <t>Unidad vendida a la municipalidad metropolitana de lima al 28/04/2007 JMC</t>
        </r>
      </text>
    </comment>
    <comment ref="F23" authorId="0">
      <text>
        <r>
          <rPr>
            <b/>
            <sz val="10"/>
            <color indexed="81"/>
            <rFont val="Tahoma"/>
            <family val="2"/>
          </rPr>
          <t>207  ZG-6763</t>
        </r>
      </text>
    </comment>
    <comment ref="G23" authorId="2">
      <text>
        <r>
          <rPr>
            <b/>
            <sz val="10"/>
            <color indexed="81"/>
            <rFont val="Tahoma"/>
            <family val="2"/>
          </rPr>
          <t>229  ZG-8742</t>
        </r>
      </text>
    </comment>
    <comment ref="H23" authorId="0">
      <text>
        <r>
          <rPr>
            <sz val="10"/>
            <color indexed="81"/>
            <rFont val="Tahoma"/>
            <family val="2"/>
          </rPr>
          <t>338  ZG-3485</t>
        </r>
      </text>
    </comment>
    <comment ref="AB23" authorId="3">
      <text>
        <r>
          <rPr>
            <sz val="10"/>
            <color indexed="81"/>
            <rFont val="Arial"/>
            <family val="2"/>
          </rPr>
          <t>Unidad vendida a la municipalidad metropolitana de lima al 28/04/2007 JMC</t>
        </r>
      </text>
    </comment>
    <comment ref="AE23" authorId="2">
      <text>
        <r>
          <rPr>
            <b/>
            <sz val="12"/>
            <color indexed="81"/>
            <rFont val="Arial"/>
            <family val="2"/>
          </rPr>
          <t>204  ZG-6712</t>
        </r>
      </text>
    </comment>
    <comment ref="AG23" authorId="2">
      <text>
        <r>
          <rPr>
            <b/>
            <sz val="8"/>
            <color indexed="81"/>
            <rFont val="Tahoma"/>
            <family val="2"/>
          </rPr>
          <t>226  ZG-8181</t>
        </r>
      </text>
    </comment>
    <comment ref="AI23" authorId="2">
      <text>
        <r>
          <rPr>
            <b/>
            <sz val="10"/>
            <color indexed="81"/>
            <rFont val="Tahoma"/>
            <family val="2"/>
          </rPr>
          <t>324  ZG-1682</t>
        </r>
      </text>
    </comment>
    <comment ref="AM23" authorId="2">
      <text>
        <r>
          <rPr>
            <b/>
            <sz val="10"/>
            <color indexed="81"/>
            <rFont val="Tahoma"/>
            <family val="2"/>
          </rPr>
          <t>228  ZG-8712</t>
        </r>
      </text>
    </comment>
    <comment ref="B24" authorId="1">
      <text>
        <r>
          <rPr>
            <sz val="10"/>
            <color indexed="81"/>
            <rFont val="Tahoma"/>
            <family val="2"/>
          </rPr>
          <t>YG-1461</t>
        </r>
      </text>
    </comment>
    <comment ref="F24" authorId="0">
      <text>
        <r>
          <rPr>
            <sz val="10"/>
            <color indexed="81"/>
            <rFont val="Tahoma"/>
            <family val="2"/>
          </rPr>
          <t xml:space="preserve">209  ZG-6765 pasa a </t>
        </r>
        <r>
          <rPr>
            <b/>
            <sz val="10"/>
            <color indexed="10"/>
            <rFont val="Tahoma"/>
            <family val="2"/>
          </rPr>
          <t xml:space="preserve">236 F9W-991 </t>
        </r>
        <r>
          <rPr>
            <sz val="8"/>
            <color indexed="81"/>
            <rFont val="Tahoma"/>
            <family val="2"/>
          </rPr>
          <t>Unidad transformada a Tolva con 03 ejes super single [Registro nuevo Añ0-2016]</t>
        </r>
      </text>
    </comment>
    <comment ref="G24" authorId="0">
      <text>
        <r>
          <rPr>
            <sz val="10"/>
            <color indexed="81"/>
            <rFont val="Tahoma"/>
            <family val="2"/>
          </rPr>
          <t>230  ZG-9419</t>
        </r>
      </text>
    </comment>
    <comment ref="H24" authorId="0">
      <text>
        <r>
          <rPr>
            <b/>
            <sz val="10"/>
            <color indexed="81"/>
            <rFont val="Arial"/>
            <family val="2"/>
          </rPr>
          <t>339  ZG-3486</t>
        </r>
      </text>
    </comment>
    <comment ref="AB24" authorId="1">
      <text>
        <r>
          <rPr>
            <sz val="10"/>
            <color indexed="81"/>
            <rFont val="Tahoma"/>
            <family val="2"/>
          </rPr>
          <t>YG-1461</t>
        </r>
      </text>
    </comment>
    <comment ref="AE24" authorId="1">
      <text>
        <r>
          <rPr>
            <b/>
            <sz val="10"/>
            <color indexed="10"/>
            <rFont val="Tahoma"/>
            <family val="2"/>
          </rPr>
          <t xml:space="preserve">C4J-973 </t>
        </r>
        <r>
          <rPr>
            <sz val="9"/>
            <color indexed="81"/>
            <rFont val="Tahoma"/>
            <family val="2"/>
          </rPr>
          <t xml:space="preserve">
Propietario: EMPRESA DE TRANSPORTES E INVERSIONES GENERALES M &amp; F SAC  Ex_Unidad_TRANSCOSTA </t>
        </r>
      </text>
    </comment>
    <comment ref="AG24" authorId="1">
      <text>
        <r>
          <rPr>
            <sz val="10"/>
            <color indexed="81"/>
            <rFont val="Tahoma"/>
            <family val="2"/>
          </rPr>
          <t>ZG-8551</t>
        </r>
      </text>
    </comment>
    <comment ref="AI24" authorId="0">
      <text>
        <r>
          <rPr>
            <sz val="10"/>
            <color indexed="10"/>
            <rFont val="Tahoma"/>
            <family val="2"/>
          </rPr>
          <t>332  ZG-3004</t>
        </r>
      </text>
    </comment>
    <comment ref="AM24" authorId="2">
      <text>
        <r>
          <rPr>
            <b/>
            <sz val="10"/>
            <color indexed="81"/>
            <rFont val="Tahoma"/>
            <family val="2"/>
          </rPr>
          <t>229  ZG-8742</t>
        </r>
      </text>
    </comment>
    <comment ref="B25" authorId="0">
      <text>
        <r>
          <rPr>
            <sz val="10"/>
            <color indexed="81"/>
            <rFont val="Tahoma"/>
            <family val="2"/>
          </rPr>
          <t>123  YG-1705</t>
        </r>
      </text>
    </comment>
    <comment ref="F25" authorId="0">
      <text>
        <r>
          <rPr>
            <sz val="10"/>
            <color indexed="81"/>
            <rFont val="Tahoma"/>
            <family val="2"/>
          </rPr>
          <t>210  ZG-6829</t>
        </r>
      </text>
    </comment>
    <comment ref="G25" authorId="1">
      <text>
        <r>
          <rPr>
            <sz val="10"/>
            <color indexed="81"/>
            <rFont val="Tahoma"/>
            <family val="2"/>
          </rPr>
          <t>ZG-9569</t>
        </r>
      </text>
    </comment>
    <comment ref="H25" authorId="0">
      <text>
        <r>
          <rPr>
            <sz val="10"/>
            <color indexed="81"/>
            <rFont val="Tahoma"/>
            <family val="2"/>
          </rPr>
          <t>342  ZG-3489</t>
        </r>
      </text>
    </comment>
    <comment ref="AB25" authorId="0">
      <text>
        <r>
          <rPr>
            <sz val="10"/>
            <color indexed="81"/>
            <rFont val="Tahoma"/>
            <family val="2"/>
          </rPr>
          <t>123  YG-1705</t>
        </r>
      </text>
    </comment>
    <comment ref="AE25" authorId="0">
      <text>
        <r>
          <rPr>
            <b/>
            <sz val="10"/>
            <color indexed="81"/>
            <rFont val="Tahoma"/>
            <family val="2"/>
          </rPr>
          <t>207  ZG-6763</t>
        </r>
      </text>
    </comment>
    <comment ref="AG25" authorId="2">
      <text>
        <r>
          <rPr>
            <b/>
            <sz val="10"/>
            <color indexed="81"/>
            <rFont val="Tahoma"/>
            <family val="2"/>
          </rPr>
          <t>228  ZG-8712</t>
        </r>
      </text>
    </comment>
    <comment ref="AI25" authorId="0">
      <text>
        <r>
          <rPr>
            <sz val="10"/>
            <color indexed="81"/>
            <rFont val="Tahoma"/>
            <family val="2"/>
          </rPr>
          <t>338  ZG-3485</t>
        </r>
      </text>
    </comment>
    <comment ref="B26" authorId="0">
      <text>
        <r>
          <rPr>
            <sz val="10"/>
            <color indexed="81"/>
            <rFont val="Tahoma"/>
            <family val="2"/>
          </rPr>
          <t>124  YG-6385</t>
        </r>
      </text>
    </comment>
    <comment ref="F26" authorId="0">
      <text>
        <r>
          <rPr>
            <b/>
            <sz val="8"/>
            <color indexed="10"/>
            <rFont val="Tahoma"/>
            <family val="2"/>
          </rPr>
          <t xml:space="preserve">P-401 C0T-998 </t>
        </r>
        <r>
          <rPr>
            <sz val="8"/>
            <color indexed="81"/>
            <rFont val="Tahoma"/>
            <family val="2"/>
          </rPr>
          <t>Unidad transformada Porta-Contenedor</t>
        </r>
        <r>
          <rPr>
            <b/>
            <sz val="8"/>
            <color indexed="81"/>
            <rFont val="Tahoma"/>
            <family val="2"/>
          </rPr>
          <t xml:space="preserve"> </t>
        </r>
      </text>
    </comment>
    <comment ref="G26" authorId="1">
      <text>
        <r>
          <rPr>
            <sz val="10"/>
            <color indexed="81"/>
            <rFont val="Tahoma"/>
            <family val="2"/>
          </rPr>
          <t>ZG-9567</t>
        </r>
      </text>
    </comment>
    <comment ref="H26" authorId="2">
      <text>
        <r>
          <rPr>
            <b/>
            <sz val="12"/>
            <color indexed="81"/>
            <rFont val="Arial"/>
            <family val="2"/>
          </rPr>
          <t>343  ZG-3490</t>
        </r>
      </text>
    </comment>
    <comment ref="AB26" authorId="0">
      <text>
        <r>
          <rPr>
            <sz val="10"/>
            <color indexed="81"/>
            <rFont val="Tahoma"/>
            <family val="2"/>
          </rPr>
          <t>124  YG-6385</t>
        </r>
      </text>
    </comment>
    <comment ref="AE26" authorId="0">
      <text>
        <r>
          <rPr>
            <sz val="10"/>
            <color indexed="81"/>
            <rFont val="Tahoma"/>
            <family val="2"/>
          </rPr>
          <t>209  ZG-6765</t>
        </r>
      </text>
    </comment>
    <comment ref="AG26" authorId="2">
      <text>
        <r>
          <rPr>
            <b/>
            <sz val="10"/>
            <color indexed="81"/>
            <rFont val="Tahoma"/>
            <family val="2"/>
          </rPr>
          <t>229  ZG-8742</t>
        </r>
      </text>
    </comment>
    <comment ref="AM26" authorId="1">
      <text>
        <r>
          <rPr>
            <sz val="10"/>
            <color indexed="81"/>
            <rFont val="Tahoma"/>
            <family val="2"/>
          </rPr>
          <t>ZG-9569</t>
        </r>
      </text>
    </comment>
    <comment ref="B27" authorId="0">
      <text>
        <r>
          <rPr>
            <sz val="10"/>
            <color indexed="81"/>
            <rFont val="Arial"/>
            <family val="2"/>
          </rPr>
          <t>151  YG-6128</t>
        </r>
      </text>
    </comment>
    <comment ref="F27" authorId="2">
      <text>
        <r>
          <rPr>
            <b/>
            <sz val="12"/>
            <color indexed="81"/>
            <rFont val="Arial"/>
            <family val="2"/>
          </rPr>
          <t>214  ZG-6830</t>
        </r>
      </text>
    </comment>
    <comment ref="G27" authorId="0">
      <text>
        <r>
          <rPr>
            <sz val="10"/>
            <color indexed="81"/>
            <rFont val="Arial"/>
            <family val="2"/>
          </rPr>
          <t>233  ZG-9568</t>
        </r>
      </text>
    </comment>
    <comment ref="H27" authorId="1">
      <text>
        <r>
          <rPr>
            <sz val="10"/>
            <color indexed="81"/>
            <rFont val="Tahoma"/>
            <family val="2"/>
          </rPr>
          <t>ZG-3491</t>
        </r>
      </text>
    </comment>
    <comment ref="AM27" authorId="1">
      <text>
        <r>
          <rPr>
            <sz val="10"/>
            <color indexed="81"/>
            <rFont val="Tahoma"/>
            <family val="2"/>
          </rPr>
          <t>ZG-9567</t>
        </r>
      </text>
    </comment>
    <comment ref="B28" authorId="0">
      <text>
        <r>
          <rPr>
            <sz val="10"/>
            <color indexed="81"/>
            <rFont val="Tahoma"/>
            <family val="2"/>
          </rPr>
          <t>152  YG-6125</t>
        </r>
      </text>
    </comment>
    <comment ref="F28" authorId="2">
      <text>
        <r>
          <rPr>
            <sz val="9"/>
            <color indexed="81"/>
            <rFont val="Arial Narrow"/>
            <family val="2"/>
          </rPr>
          <t xml:space="preserve">Unidad vendida a GAVELANO por regularizar al 03/09/13 ICC
</t>
        </r>
        <r>
          <rPr>
            <sz val="9"/>
            <color indexed="10"/>
            <rFont val="Arial Narrow"/>
            <family val="2"/>
          </rPr>
          <t xml:space="preserve">Nro. Placa  ZG6936 </t>
        </r>
        <r>
          <rPr>
            <sz val="9"/>
            <color indexed="81"/>
            <rFont val="Arial Narrow"/>
            <family val="2"/>
          </rPr>
          <t xml:space="preserve">Nro. Serie  SRV403049
Nro. Motor  0 Color  VERDE BLANCO
Marca  VALDERRAMA Modelo  SRV-40-3
</t>
        </r>
        <r>
          <rPr>
            <sz val="10"/>
            <color indexed="10"/>
            <rFont val="Arial Narrow"/>
            <family val="2"/>
          </rPr>
          <t>Placa Vigente  F2I973</t>
        </r>
        <r>
          <rPr>
            <sz val="9"/>
            <color indexed="81"/>
            <rFont val="Arial Narrow"/>
            <family val="2"/>
          </rPr>
          <t xml:space="preserve">
Propietarios 
TRANSPORTES Y SERVICIOS GAVELAN S.A.C
Sede  LIMA</t>
        </r>
      </text>
    </comment>
    <comment ref="G28" authorId="0">
      <text>
        <r>
          <rPr>
            <b/>
            <sz val="10"/>
            <color indexed="10"/>
            <rFont val="Tahoma"/>
            <family val="2"/>
          </rPr>
          <t>234  ZI-1274</t>
        </r>
        <r>
          <rPr>
            <sz val="10"/>
            <color indexed="10"/>
            <rFont val="Tahoma"/>
            <family val="2"/>
          </rPr>
          <t xml:space="preserve"> </t>
        </r>
      </text>
    </comment>
    <comment ref="H28" authorId="2">
      <text>
        <r>
          <rPr>
            <b/>
            <sz val="10"/>
            <color indexed="81"/>
            <rFont val="Tahoma"/>
            <family val="2"/>
          </rPr>
          <t xml:space="preserve">356  ZG-7952 </t>
        </r>
      </text>
    </comment>
    <comment ref="O28" authorId="0">
      <text>
        <r>
          <rPr>
            <b/>
            <sz val="8"/>
            <color indexed="81"/>
            <rFont val="Tahoma"/>
            <family val="2"/>
          </rPr>
          <t>SCOTIABANK</t>
        </r>
        <r>
          <rPr>
            <sz val="9"/>
            <color indexed="81"/>
            <rFont val="Tahoma"/>
            <family val="2"/>
          </rPr>
          <t xml:space="preserve">
La cancelacion no se hizo por problemas de sistema, llamarian en 48 horas para realizar</t>
        </r>
      </text>
    </comment>
    <comment ref="AB28" authorId="0">
      <text>
        <r>
          <rPr>
            <sz val="10"/>
            <color indexed="81"/>
            <rFont val="Tahoma"/>
            <family val="2"/>
          </rPr>
          <t>152  YG-6125</t>
        </r>
      </text>
    </comment>
    <comment ref="AE28" authorId="2">
      <text>
        <r>
          <rPr>
            <b/>
            <sz val="8"/>
            <color indexed="10"/>
            <rFont val="Arial"/>
            <family val="2"/>
          </rPr>
          <t xml:space="preserve">213  ZG-6831 </t>
        </r>
        <r>
          <rPr>
            <sz val="8"/>
            <color indexed="10"/>
            <rFont val="Arial"/>
            <family val="2"/>
          </rPr>
          <t xml:space="preserve">Unidad transformada Porta-Contenedor </t>
        </r>
      </text>
    </comment>
    <comment ref="AG28" authorId="1">
      <text>
        <r>
          <rPr>
            <sz val="10"/>
            <color indexed="81"/>
            <rFont val="Tahoma"/>
            <family val="2"/>
          </rPr>
          <t>ZG-9569</t>
        </r>
      </text>
    </comment>
    <comment ref="AI28" authorId="2">
      <text>
        <r>
          <rPr>
            <b/>
            <sz val="12"/>
            <color indexed="81"/>
            <rFont val="Arial"/>
            <family val="2"/>
          </rPr>
          <t>343  ZG-3490</t>
        </r>
      </text>
    </comment>
    <comment ref="B29" authorId="2">
      <text>
        <r>
          <rPr>
            <b/>
            <sz val="12"/>
            <color indexed="81"/>
            <rFont val="Arial"/>
            <family val="2"/>
          </rPr>
          <t>153  YG-6162</t>
        </r>
      </text>
    </comment>
    <comment ref="F29" authorId="1">
      <text>
        <r>
          <rPr>
            <sz val="10"/>
            <color indexed="81"/>
            <rFont val="Tahoma"/>
            <family val="2"/>
          </rPr>
          <t>Unidad vendida a GAVELANO por regularizar al 01/09/14. ICC ZG-</t>
        </r>
        <r>
          <rPr>
            <sz val="9"/>
            <color indexed="81"/>
            <rFont val="Tahoma"/>
            <family val="2"/>
          </rPr>
          <t xml:space="preserve">6935 Para Alquiler a GAVELANO 03/09/13 I.C.C.
</t>
        </r>
        <r>
          <rPr>
            <sz val="9"/>
            <color indexed="10"/>
            <rFont val="Tahoma"/>
            <family val="2"/>
          </rPr>
          <t>Nro. Placa  B1G985</t>
        </r>
        <r>
          <rPr>
            <sz val="9"/>
            <color indexed="81"/>
            <rFont val="Tahoma"/>
            <family val="2"/>
          </rPr>
          <t xml:space="preserve">
Nro. Serie  SRV403050 Nro. Motor  0
Color  VERDE BLANCO Marca  VALDERRAMA
Modelo  SRV-40-3 </t>
        </r>
        <r>
          <rPr>
            <sz val="9"/>
            <color indexed="10"/>
            <rFont val="Tahoma"/>
            <family val="2"/>
          </rPr>
          <t>Placa Anterior  ZG6935</t>
        </r>
        <r>
          <rPr>
            <sz val="9"/>
            <color indexed="81"/>
            <rFont val="Tahoma"/>
            <family val="2"/>
          </rPr>
          <t xml:space="preserve">
Propietarios CARDENAS SALDAÑA, JULIO ZENON
Sede  LIMA
BOLETA DE VENTA: 001-000001 03-10-2014
a nombre de JULIO ZENON CARDENAS SALDAÑA</t>
        </r>
      </text>
    </comment>
    <comment ref="G29" authorId="0">
      <text>
        <r>
          <rPr>
            <sz val="10"/>
            <color indexed="81"/>
            <rFont val="Tahoma"/>
            <family val="2"/>
          </rPr>
          <t>235  ZI-1275</t>
        </r>
      </text>
    </comment>
    <comment ref="H29" authorId="0">
      <text>
        <r>
          <rPr>
            <sz val="10"/>
            <color indexed="81"/>
            <rFont val="Arial"/>
            <family val="2"/>
          </rPr>
          <t>357  ZQ-1428</t>
        </r>
      </text>
    </comment>
    <comment ref="AB29" authorId="2">
      <text>
        <r>
          <rPr>
            <b/>
            <sz val="12"/>
            <color indexed="81"/>
            <rFont val="Arial"/>
            <family val="2"/>
          </rPr>
          <t>153  YG-6162</t>
        </r>
      </text>
    </comment>
    <comment ref="AE29" authorId="2">
      <text>
        <r>
          <rPr>
            <b/>
            <sz val="12"/>
            <color indexed="81"/>
            <rFont val="Arial"/>
            <family val="2"/>
          </rPr>
          <t>214  ZG-6830</t>
        </r>
      </text>
    </comment>
    <comment ref="AG29" authorId="1">
      <text>
        <r>
          <rPr>
            <sz val="10"/>
            <color indexed="81"/>
            <rFont val="Tahoma"/>
            <family val="2"/>
          </rPr>
          <t>ZG-9567</t>
        </r>
      </text>
    </comment>
    <comment ref="AI29" authorId="1">
      <text>
        <r>
          <rPr>
            <sz val="10"/>
            <color indexed="81"/>
            <rFont val="Tahoma"/>
            <family val="2"/>
          </rPr>
          <t>ZG-3491</t>
        </r>
      </text>
    </comment>
    <comment ref="AM29" authorId="0">
      <text>
        <r>
          <rPr>
            <sz val="10"/>
            <color indexed="10"/>
            <rFont val="Tahoma"/>
            <family val="2"/>
          </rPr>
          <t>234  ZI-1274</t>
        </r>
      </text>
    </comment>
    <comment ref="B30" authorId="0">
      <text>
        <r>
          <rPr>
            <sz val="10"/>
            <color indexed="10"/>
            <rFont val="Arial"/>
            <family val="2"/>
          </rPr>
          <t>154  YG-6127</t>
        </r>
      </text>
    </comment>
    <comment ref="F30" authorId="0">
      <text>
        <r>
          <rPr>
            <b/>
            <sz val="10"/>
            <color indexed="10"/>
            <rFont val="Arial"/>
            <family val="2"/>
          </rPr>
          <t>217  ZG-6937</t>
        </r>
      </text>
    </comment>
    <comment ref="G30" authorId="0">
      <text>
        <r>
          <rPr>
            <sz val="9"/>
            <color indexed="81"/>
            <rFont val="Tahoma"/>
            <family val="2"/>
          </rPr>
          <t>Unidad Ex-</t>
        </r>
        <r>
          <rPr>
            <b/>
            <sz val="9"/>
            <color indexed="10"/>
            <rFont val="Tahoma"/>
            <family val="2"/>
          </rPr>
          <t xml:space="preserve">209 D5F-997 </t>
        </r>
        <r>
          <rPr>
            <sz val="8"/>
            <color indexed="81"/>
            <rFont val="Tahoma"/>
            <family val="2"/>
          </rPr>
          <t>transformada a Tolva con 03 ejes super single [Regsis Añ0-2016]</t>
        </r>
        <r>
          <rPr>
            <sz val="9"/>
            <color indexed="81"/>
            <rFont val="Tahoma"/>
            <family val="2"/>
          </rPr>
          <t xml:space="preserve">
</t>
        </r>
        <r>
          <rPr>
            <sz val="8"/>
            <color indexed="10"/>
            <rFont val="Calibri"/>
            <family val="2"/>
            <scheme val="minor"/>
          </rPr>
          <t xml:space="preserve">N° </t>
        </r>
        <r>
          <rPr>
            <b/>
            <sz val="10"/>
            <color indexed="10"/>
            <rFont val="Calibri"/>
            <family val="2"/>
            <scheme val="minor"/>
          </rPr>
          <t>PLACA: F9W-991</t>
        </r>
        <r>
          <rPr>
            <sz val="8"/>
            <color indexed="81"/>
            <rFont val="Calibri"/>
            <family val="2"/>
            <scheme val="minor"/>
          </rPr>
          <t xml:space="preserve">
N° SERIE: 8S9340NGSGLV31202
N° VIN: 8S9340NGSGLV31202
N° MOTOR:
COLOR: VERDE BLANCO
MARCA: FUFABRISAC
MODELO: SRG-03
ESTADO: Normal
SEDE: LIMA
PROPIETARIOS TRANSPORTE COMERCIAL Y SEGURO TAKUSHI</t>
        </r>
      </text>
    </comment>
    <comment ref="H30" authorId="0">
      <text>
        <r>
          <rPr>
            <b/>
            <sz val="10"/>
            <color indexed="10"/>
            <rFont val="Arial"/>
            <family val="2"/>
          </rPr>
          <t>358  ZM-1070</t>
        </r>
        <r>
          <rPr>
            <sz val="10"/>
            <color indexed="81"/>
            <rFont val="Arial"/>
            <family val="2"/>
          </rPr>
          <t xml:space="preserve">
</t>
        </r>
        <r>
          <rPr>
            <sz val="10"/>
            <color indexed="81"/>
            <rFont val="Arial Narrow"/>
            <family val="2"/>
          </rPr>
          <t>Nro. Serie  1001961025  Nro. Motor  S
Color  VERDE CLARO
Marca  INDIO  Modelo  P-30
Placa Anterior  ZM1070
Propietarios  (a Feb-2016)
MALAGA COCCHELLA, JORGE EDUARDO   BEKICH LAMBERT DE MALAGA, SILVIA
Sede  HUANUCO</t>
        </r>
      </text>
    </comment>
    <comment ref="O30" authorId="0">
      <text>
        <r>
          <rPr>
            <b/>
            <sz val="8"/>
            <color indexed="81"/>
            <rFont val="Tahoma"/>
            <family val="2"/>
          </rPr>
          <t>SCOTIABANK</t>
        </r>
        <r>
          <rPr>
            <sz val="9"/>
            <color indexed="81"/>
            <rFont val="Tahoma"/>
            <family val="2"/>
          </rPr>
          <t xml:space="preserve">
La cancelacion no se hizo por problemas de sistema, llamarian en 48 horas para realizar</t>
        </r>
      </text>
    </comment>
    <comment ref="AE30" authorId="2">
      <text>
        <r>
          <rPr>
            <sz val="9"/>
            <color indexed="81"/>
            <rFont val="Arial Narrow"/>
            <family val="2"/>
          </rPr>
          <t>Unidad vendida a GAVELANO por regularizar al 03/09/13 ICC</t>
        </r>
      </text>
    </comment>
    <comment ref="AI30" authorId="2">
      <text>
        <r>
          <rPr>
            <b/>
            <sz val="10"/>
            <color indexed="81"/>
            <rFont val="Tahoma"/>
            <family val="2"/>
          </rPr>
          <t xml:space="preserve">356  ZG-7952 </t>
        </r>
      </text>
    </comment>
    <comment ref="AM30" authorId="0">
      <text>
        <r>
          <rPr>
            <sz val="10"/>
            <color indexed="81"/>
            <rFont val="Tahoma"/>
            <family val="2"/>
          </rPr>
          <t>235  ZI-1275</t>
        </r>
      </text>
    </comment>
    <comment ref="B31" authorId="0">
      <text>
        <r>
          <rPr>
            <sz val="10"/>
            <color indexed="10"/>
            <rFont val="Arial"/>
            <family val="2"/>
          </rPr>
          <t>155  YG-6407</t>
        </r>
      </text>
    </comment>
    <comment ref="F31" authorId="0">
      <text>
        <r>
          <rPr>
            <b/>
            <sz val="10"/>
            <color indexed="81"/>
            <rFont val="Tahoma"/>
            <family val="2"/>
          </rPr>
          <t xml:space="preserve">218  ZG-7093 </t>
        </r>
        <r>
          <rPr>
            <sz val="10"/>
            <color indexed="81"/>
            <rFont val="Tahoma"/>
            <family val="2"/>
          </rPr>
          <t>peridda de Plaqueta de chasis 25/11/19 FTCh</t>
        </r>
      </text>
    </comment>
    <comment ref="G31" authorId="0">
      <text>
        <r>
          <rPr>
            <sz val="9"/>
            <color indexed="81"/>
            <rFont val="Calibri"/>
            <family val="2"/>
            <scheme val="minor"/>
          </rPr>
          <t xml:space="preserve">N° PLACA: </t>
        </r>
        <r>
          <rPr>
            <sz val="10"/>
            <color indexed="10"/>
            <rFont val="Bookman Old Style"/>
            <family val="1"/>
          </rPr>
          <t>F7I-990</t>
        </r>
        <r>
          <rPr>
            <sz val="9"/>
            <color indexed="81"/>
            <rFont val="Calibri"/>
            <family val="2"/>
            <scheme val="minor"/>
          </rPr>
          <t xml:space="preserve">
N° SERIE: 8T9CBVKT1GSG03004
N° VIN: 8T9CBVKT1GSG03004
N° MOTOR: 00
COLOR: VERDE
MARCA: CBSAC
MODELO: CB-VQT1
ESTADO: Normal
SEDE: LIMA
PROPIETARIOS TRANSPORTE COMERCIAL Y SEGURO TAKUSHI</t>
        </r>
      </text>
    </comment>
    <comment ref="H31" authorId="0">
      <text>
        <r>
          <rPr>
            <b/>
            <sz val="10"/>
            <color indexed="10"/>
            <rFont val="Arial"/>
            <family val="2"/>
          </rPr>
          <t xml:space="preserve">359  ABE-996
</t>
        </r>
        <r>
          <rPr>
            <sz val="9"/>
            <color indexed="81"/>
            <rFont val="Arial Narrow"/>
            <family val="2"/>
          </rPr>
          <t>N° SERIE:        8S9338NPSHLV31205
N° VIN:        8S9338NPSHLV31205
N° MOTOR:
COLOR:        VERDE BLANCO
MARCA:        FUFABRISAC
MODELO:        SRP-02-03
ESTADO:        Norm al
SEDE:        LIMA
PROPIETARIOS        TRANSPORTE COMERCIAL Y SEGURO TAKUSHI S.A.C.</t>
        </r>
      </text>
    </comment>
    <comment ref="AE31" authorId="1">
      <text>
        <r>
          <rPr>
            <sz val="10"/>
            <color indexed="81"/>
            <rFont val="Tahoma"/>
            <family val="2"/>
          </rPr>
          <t>ZG-</t>
        </r>
        <r>
          <rPr>
            <sz val="9"/>
            <color indexed="81"/>
            <rFont val="Tahoma"/>
            <family val="2"/>
          </rPr>
          <t>6935 Para Alquiler a GAVELANO 03/09/13 I.C.C.</t>
        </r>
      </text>
    </comment>
    <comment ref="AG31" authorId="0">
      <text>
        <r>
          <rPr>
            <sz val="10"/>
            <color indexed="10"/>
            <rFont val="Tahoma"/>
            <family val="2"/>
          </rPr>
          <t>234  ZI-1274</t>
        </r>
      </text>
    </comment>
    <comment ref="AM31" authorId="2">
      <text>
        <r>
          <rPr>
            <b/>
            <sz val="8"/>
            <color indexed="81"/>
            <rFont val="Tahoma"/>
            <family val="2"/>
          </rPr>
          <t>502 ZG-1401 Tc</t>
        </r>
        <r>
          <rPr>
            <sz val="8"/>
            <color indexed="81"/>
            <rFont val="Tahoma"/>
            <family val="2"/>
          </rPr>
          <t xml:space="preserve">
</t>
        </r>
      </text>
    </comment>
    <comment ref="B32" authorId="0">
      <text>
        <r>
          <rPr>
            <b/>
            <sz val="10"/>
            <color indexed="81"/>
            <rFont val="Arial"/>
            <family val="2"/>
          </rPr>
          <t>156  YG-6126</t>
        </r>
      </text>
    </comment>
    <comment ref="F32" authorId="2">
      <text>
        <r>
          <rPr>
            <sz val="9"/>
            <color indexed="81"/>
            <rFont val="Arial Narrow"/>
            <family val="2"/>
          </rPr>
          <t xml:space="preserve">Unidad vendida al 07/12/2012 Fact_001-000970 ICC </t>
        </r>
        <r>
          <rPr>
            <sz val="12"/>
            <color indexed="10"/>
            <rFont val="Arial Narrow"/>
            <family val="2"/>
          </rPr>
          <t xml:space="preserve"> [</t>
        </r>
        <r>
          <rPr>
            <b/>
            <sz val="11"/>
            <color indexed="10"/>
            <rFont val="Arial Narrow"/>
            <family val="2"/>
          </rPr>
          <t xml:space="preserve">C3R-987 </t>
        </r>
        <r>
          <rPr>
            <sz val="8"/>
            <color indexed="10"/>
            <rFont val="Arial Narrow"/>
            <family val="2"/>
          </rPr>
          <t>Propietarios CRUZ CUSIPUMA, PEDRO MARTIN FAJARDO MENDOZA, BEATRIZ MATILDE</t>
        </r>
        <r>
          <rPr>
            <sz val="12"/>
            <color indexed="10"/>
            <rFont val="Arial Narrow"/>
            <family val="2"/>
          </rPr>
          <t>]</t>
        </r>
      </text>
    </comment>
    <comment ref="G32" authorId="0">
      <text>
        <r>
          <rPr>
            <b/>
            <sz val="11"/>
            <color indexed="10"/>
            <rFont val="Calibri"/>
            <family val="2"/>
            <scheme val="minor"/>
          </rPr>
          <t xml:space="preserve">ANO-979  </t>
        </r>
        <r>
          <rPr>
            <sz val="9"/>
            <color indexed="81"/>
            <rFont val="Calibri"/>
            <family val="2"/>
            <scheme val="minor"/>
          </rPr>
          <t xml:space="preserve">
EX 202  ZG-6710
UNIDAD REPOTENCIADA Y REEMPLACADA POR T-238 (14/01/2020)
PROPIETARIOS TRANSPORTE COMERCIAL Y SEGURO TAKUSHI</t>
        </r>
      </text>
    </comment>
    <comment ref="H32" authorId="0">
      <text>
        <r>
          <rPr>
            <b/>
            <sz val="10"/>
            <color indexed="10"/>
            <rFont val="Arial"/>
            <family val="2"/>
          </rPr>
          <t xml:space="preserve">360  </t>
        </r>
        <r>
          <rPr>
            <b/>
            <sz val="10"/>
            <color indexed="10"/>
            <rFont val="Arial Narrow"/>
            <family val="2"/>
          </rPr>
          <t>ABE-999</t>
        </r>
        <r>
          <rPr>
            <sz val="10"/>
            <color indexed="81"/>
            <rFont val="Arial Narrow"/>
            <family val="2"/>
          </rPr>
          <t xml:space="preserve">
</t>
        </r>
        <r>
          <rPr>
            <sz val="9"/>
            <color indexed="81"/>
            <rFont val="Arial Narrow"/>
            <family val="2"/>
          </rPr>
          <t>N° SERIE:        8S9338NPSHLV31206
N° VIN:        8S9338NPSHLV31206
N° MOTOR:        0
COLOR:        VERDE BLANCO
MARCA:        FUFABRISAC
MODELO:        SRP-02-03
ESTADO:        Norm al
SEDE:        LIMA
PROPIETARIOS        TRANSPORTE COMERCIAL Y SEGURO TAKUSHI S.A.C.</t>
        </r>
      </text>
    </comment>
    <comment ref="O32" authorId="0">
      <text>
        <r>
          <rPr>
            <b/>
            <sz val="8"/>
            <color indexed="81"/>
            <rFont val="Tahoma"/>
            <family val="2"/>
          </rPr>
          <t>SCOTIABANK</t>
        </r>
        <r>
          <rPr>
            <sz val="9"/>
            <color indexed="81"/>
            <rFont val="Tahoma"/>
            <family val="2"/>
          </rPr>
          <t xml:space="preserve">
La cancelacion se hizo con Cod: 2019467623 efctivo en 7dias utiles (13/12/19) &gt;Sldo de S/ 24.30= en Ag Centro Aereo Comercial.</t>
        </r>
      </text>
    </comment>
    <comment ref="AG32" authorId="0">
      <text>
        <r>
          <rPr>
            <sz val="10"/>
            <color indexed="81"/>
            <rFont val="Tahoma"/>
            <family val="2"/>
          </rPr>
          <t>235  ZI-1275</t>
        </r>
      </text>
    </comment>
    <comment ref="B33" authorId="0">
      <text>
        <r>
          <rPr>
            <b/>
            <sz val="10"/>
            <color indexed="81"/>
            <rFont val="Tahoma"/>
            <family val="2"/>
          </rPr>
          <t>157  YG-6133</t>
        </r>
      </text>
    </comment>
    <comment ref="F33" authorId="0">
      <text>
        <r>
          <rPr>
            <sz val="10"/>
            <color indexed="81"/>
            <rFont val="Tahoma"/>
            <family val="2"/>
          </rPr>
          <t>220  ZG-7609</t>
        </r>
      </text>
    </comment>
    <comment ref="H33" authorId="0">
      <text>
        <r>
          <rPr>
            <b/>
            <sz val="10"/>
            <color indexed="10"/>
            <rFont val="Arial"/>
            <family val="2"/>
          </rPr>
          <t xml:space="preserve">361  </t>
        </r>
        <r>
          <rPr>
            <b/>
            <sz val="10"/>
            <color indexed="10"/>
            <rFont val="Arial Narrow"/>
            <family val="2"/>
          </rPr>
          <t>TCE-984</t>
        </r>
        <r>
          <rPr>
            <sz val="10"/>
            <color indexed="81"/>
            <rFont val="Arial Narrow"/>
            <family val="2"/>
          </rPr>
          <t xml:space="preserve">
</t>
        </r>
      </text>
    </comment>
    <comment ref="AB33" authorId="0">
      <text>
        <r>
          <rPr>
            <b/>
            <sz val="10"/>
            <color indexed="81"/>
            <rFont val="Tahoma"/>
            <family val="2"/>
          </rPr>
          <t>157  YG-6133</t>
        </r>
      </text>
    </comment>
    <comment ref="AE33" authorId="0">
      <text>
        <r>
          <rPr>
            <b/>
            <sz val="10"/>
            <color indexed="81"/>
            <rFont val="Tahoma"/>
            <family val="2"/>
          </rPr>
          <t>218  ZG-7093</t>
        </r>
      </text>
    </comment>
    <comment ref="B34" authorId="0">
      <text>
        <r>
          <rPr>
            <sz val="10"/>
            <color indexed="10"/>
            <rFont val="Tahoma"/>
            <family val="2"/>
          </rPr>
          <t>158  YG-6124</t>
        </r>
      </text>
    </comment>
    <comment ref="F34" authorId="2">
      <text>
        <r>
          <rPr>
            <b/>
            <sz val="10"/>
            <color indexed="81"/>
            <rFont val="Tahoma"/>
            <family val="2"/>
          </rPr>
          <t>221  ZG-7610</t>
        </r>
      </text>
    </comment>
    <comment ref="H34" authorId="0">
      <text>
        <r>
          <rPr>
            <b/>
            <sz val="10"/>
            <color indexed="10"/>
            <rFont val="Arial"/>
            <family val="2"/>
          </rPr>
          <t xml:space="preserve">362  </t>
        </r>
        <r>
          <rPr>
            <b/>
            <sz val="10"/>
            <color indexed="10"/>
            <rFont val="Arial Narrow"/>
            <family val="2"/>
          </rPr>
          <t>TCE-990</t>
        </r>
        <r>
          <rPr>
            <sz val="10"/>
            <color indexed="81"/>
            <rFont val="Arial Narrow"/>
            <family val="2"/>
          </rPr>
          <t xml:space="preserve">
</t>
        </r>
      </text>
    </comment>
    <comment ref="I34" authorId="2">
      <text>
        <r>
          <rPr>
            <b/>
            <sz val="8"/>
            <color indexed="81"/>
            <rFont val="Tahoma"/>
            <family val="2"/>
          </rPr>
          <t>502 ZG-1401 Tc</t>
        </r>
        <r>
          <rPr>
            <sz val="8"/>
            <color indexed="81"/>
            <rFont val="Tahoma"/>
            <family val="2"/>
          </rPr>
          <t xml:space="preserve">
</t>
        </r>
      </text>
    </comment>
    <comment ref="O34" authorId="0">
      <text>
        <r>
          <rPr>
            <b/>
            <sz val="8"/>
            <color indexed="81"/>
            <rFont val="Tahoma"/>
            <family val="2"/>
          </rPr>
          <t>SCOTIABANK</t>
        </r>
        <r>
          <rPr>
            <sz val="9"/>
            <color indexed="81"/>
            <rFont val="Tahoma"/>
            <family val="2"/>
          </rPr>
          <t xml:space="preserve">
La cancelacion se hizo con Cod: 2019486806 efctivo en 7dias utiles (30/12/19) &gt;Sldo de S/ 24.30= en consulta luego de la cancelacion TjCrd</t>
        </r>
      </text>
    </comment>
    <comment ref="AB34" authorId="0">
      <text>
        <r>
          <rPr>
            <sz val="10"/>
            <color indexed="10"/>
            <rFont val="Tahoma"/>
            <family val="2"/>
          </rPr>
          <t>158  YG-6124</t>
        </r>
      </text>
    </comment>
    <comment ref="AE34" authorId="2">
      <text>
        <r>
          <rPr>
            <sz val="9"/>
            <color indexed="81"/>
            <rFont val="Arial Narrow"/>
            <family val="2"/>
          </rPr>
          <t xml:space="preserve">Unidad vendida al 07/12/2012 Fact_001-000970 ICC </t>
        </r>
        <r>
          <rPr>
            <sz val="12"/>
            <color indexed="10"/>
            <rFont val="Arial Narrow"/>
            <family val="2"/>
          </rPr>
          <t xml:space="preserve"> [</t>
        </r>
        <r>
          <rPr>
            <b/>
            <sz val="11"/>
            <color indexed="10"/>
            <rFont val="Arial Narrow"/>
            <family val="2"/>
          </rPr>
          <t xml:space="preserve">C3R-987 </t>
        </r>
        <r>
          <rPr>
            <sz val="8"/>
            <color indexed="10"/>
            <rFont val="Arial Narrow"/>
            <family val="2"/>
          </rPr>
          <t>Propietarios CRUZ CUSIPUMA, PEDRO MARTIN FAJARDO MENDOZA, BEATRIZ MATILDE</t>
        </r>
        <r>
          <rPr>
            <sz val="12"/>
            <color indexed="10"/>
            <rFont val="Arial Narrow"/>
            <family val="2"/>
          </rPr>
          <t>]</t>
        </r>
      </text>
    </comment>
    <comment ref="AI34" authorId="2">
      <text>
        <r>
          <rPr>
            <b/>
            <sz val="8"/>
            <color indexed="81"/>
            <rFont val="Tahoma"/>
            <family val="2"/>
          </rPr>
          <t>502 ZG-1401 Tc</t>
        </r>
        <r>
          <rPr>
            <sz val="8"/>
            <color indexed="81"/>
            <rFont val="Tahoma"/>
            <family val="2"/>
          </rPr>
          <t xml:space="preserve">
</t>
        </r>
      </text>
    </comment>
    <comment ref="B35" authorId="0">
      <text>
        <r>
          <rPr>
            <b/>
            <sz val="10"/>
            <color indexed="81"/>
            <rFont val="Tahoma"/>
            <family val="2"/>
          </rPr>
          <t>159  YG-6123</t>
        </r>
      </text>
    </comment>
    <comment ref="H35" authorId="0">
      <text>
        <r>
          <rPr>
            <b/>
            <sz val="10"/>
            <color indexed="10"/>
            <rFont val="Arial"/>
            <family val="2"/>
          </rPr>
          <t>363  AEA-978</t>
        </r>
        <r>
          <rPr>
            <sz val="10"/>
            <color indexed="81"/>
            <rFont val="Arial Narrow"/>
            <family val="2"/>
          </rPr>
          <t xml:space="preserve">
</t>
        </r>
      </text>
    </comment>
    <comment ref="AB35" authorId="0">
      <text>
        <r>
          <rPr>
            <b/>
            <sz val="10"/>
            <color indexed="81"/>
            <rFont val="Tahoma"/>
            <family val="2"/>
          </rPr>
          <t>159  YG-6123</t>
        </r>
      </text>
    </comment>
    <comment ref="B36" authorId="0">
      <text>
        <r>
          <rPr>
            <sz val="10"/>
            <color indexed="10"/>
            <rFont val="Tahoma"/>
            <family val="2"/>
          </rPr>
          <t>160  YG-6134</t>
        </r>
      </text>
    </comment>
    <comment ref="B37" authorId="0">
      <text>
        <r>
          <rPr>
            <sz val="10"/>
            <color indexed="81"/>
            <rFont val="Tahoma"/>
            <family val="2"/>
          </rPr>
          <t>161  YG-6035</t>
        </r>
      </text>
    </comment>
    <comment ref="B38" authorId="0">
      <text>
        <r>
          <rPr>
            <sz val="10"/>
            <color indexed="81"/>
            <rFont val="Tahoma"/>
            <family val="2"/>
          </rPr>
          <t>162  YG-6129</t>
        </r>
      </text>
    </comment>
    <comment ref="B39" authorId="0">
      <text>
        <r>
          <rPr>
            <b/>
            <sz val="10"/>
            <color indexed="81"/>
            <rFont val="Arial"/>
            <family val="2"/>
          </rPr>
          <t>163  YG-6036</t>
        </r>
      </text>
    </comment>
    <comment ref="I57" authorId="0">
      <text>
        <r>
          <rPr>
            <b/>
            <sz val="10"/>
            <color indexed="10"/>
            <rFont val="Arial"/>
            <family val="2"/>
          </rPr>
          <t xml:space="preserve">359  ABE-996
</t>
        </r>
        <r>
          <rPr>
            <sz val="9"/>
            <color indexed="81"/>
            <rFont val="Arial Narrow"/>
            <family val="2"/>
          </rPr>
          <t>N° SERIE:        8S9338NPSHLV31205
N° VIN:        8S9338NPSHLV31205
N° MOTOR:
COLOR:        VERDE BLANCO
MARCA:        FUFABRISAC
MODELO:        SRP-02-03
ESTADO:        Norm al
SEDE:        LIMA
PROPIETARIOS        TRANSPORTE COMERCIAL Y SEGURO TAKUSHI S.A.C.</t>
        </r>
      </text>
    </comment>
    <comment ref="I58" authorId="0">
      <text>
        <r>
          <rPr>
            <b/>
            <sz val="10"/>
            <color indexed="10"/>
            <rFont val="Arial"/>
            <family val="2"/>
          </rPr>
          <t xml:space="preserve">360  </t>
        </r>
        <r>
          <rPr>
            <b/>
            <sz val="10"/>
            <color indexed="10"/>
            <rFont val="Arial Narrow"/>
            <family val="2"/>
          </rPr>
          <t>ABE-999</t>
        </r>
        <r>
          <rPr>
            <sz val="10"/>
            <color indexed="81"/>
            <rFont val="Arial Narrow"/>
            <family val="2"/>
          </rPr>
          <t xml:space="preserve">
</t>
        </r>
        <r>
          <rPr>
            <sz val="9"/>
            <color indexed="81"/>
            <rFont val="Arial Narrow"/>
            <family val="2"/>
          </rPr>
          <t>N° SERIE:        8S9338NPSHLV31206
N° VIN:        8S9338NPSHLV31206
N° MOTOR:        0
COLOR:        VERDE BLANCO
MARCA:        FUFABRISAC
MODELO:        SRP-02-03
ESTADO:        Norm al
SEDE:        LIMA
PROPIETARIOS        TRANSPORTE COMERCIAL Y SEGURO TAKUSHI S.A.C.</t>
        </r>
      </text>
    </comment>
    <comment ref="I59" authorId="0">
      <text>
        <r>
          <rPr>
            <b/>
            <sz val="10"/>
            <color indexed="10"/>
            <rFont val="Arial"/>
            <family val="2"/>
          </rPr>
          <t xml:space="preserve">361  </t>
        </r>
        <r>
          <rPr>
            <b/>
            <sz val="10"/>
            <color indexed="10"/>
            <rFont val="Arial Narrow"/>
            <family val="2"/>
          </rPr>
          <t>TCE-984</t>
        </r>
        <r>
          <rPr>
            <sz val="10"/>
            <color indexed="81"/>
            <rFont val="Arial Narrow"/>
            <family val="2"/>
          </rPr>
          <t xml:space="preserve">
</t>
        </r>
      </text>
    </comment>
    <comment ref="I60" authorId="0">
      <text>
        <r>
          <rPr>
            <b/>
            <sz val="10"/>
            <color indexed="10"/>
            <rFont val="Arial"/>
            <family val="2"/>
          </rPr>
          <t xml:space="preserve">362  </t>
        </r>
        <r>
          <rPr>
            <b/>
            <sz val="10"/>
            <color indexed="10"/>
            <rFont val="Arial Narrow"/>
            <family val="2"/>
          </rPr>
          <t>TCE-990</t>
        </r>
        <r>
          <rPr>
            <sz val="10"/>
            <color indexed="81"/>
            <rFont val="Arial Narrow"/>
            <family val="2"/>
          </rPr>
          <t xml:space="preserve">
</t>
        </r>
      </text>
    </comment>
    <comment ref="I61" authorId="0">
      <text>
        <r>
          <rPr>
            <b/>
            <sz val="10"/>
            <color indexed="10"/>
            <rFont val="Arial"/>
            <family val="2"/>
          </rPr>
          <t>363  AEA-978</t>
        </r>
        <r>
          <rPr>
            <sz val="10"/>
            <color indexed="81"/>
            <rFont val="Arial Narrow"/>
            <family val="2"/>
          </rPr>
          <t xml:space="preserve">
</t>
        </r>
      </text>
    </comment>
    <comment ref="I62" authorId="0">
      <text>
        <r>
          <rPr>
            <b/>
            <sz val="8"/>
            <color indexed="81"/>
            <rFont val="Tahoma"/>
            <family val="2"/>
          </rPr>
          <t>CesarQ:</t>
        </r>
        <r>
          <rPr>
            <sz val="8"/>
            <color indexed="81"/>
            <rFont val="Tahoma"/>
            <family val="2"/>
          </rPr>
          <t xml:space="preserve">
</t>
        </r>
      </text>
    </comment>
    <comment ref="I63" authorId="0">
      <text>
        <r>
          <rPr>
            <b/>
            <sz val="8"/>
            <color indexed="10"/>
            <rFont val="Tahoma"/>
            <family val="2"/>
          </rPr>
          <t xml:space="preserve">EX T-234  D4H-997 /-/ </t>
        </r>
        <r>
          <rPr>
            <sz val="8"/>
            <color indexed="10"/>
            <rFont val="Tahoma"/>
            <family val="2"/>
          </rPr>
          <t>ZI-1274</t>
        </r>
        <r>
          <rPr>
            <b/>
            <sz val="8"/>
            <color indexed="81"/>
            <rFont val="Tahoma"/>
            <family val="2"/>
          </rPr>
          <t xml:space="preserve"> </t>
        </r>
        <r>
          <rPr>
            <sz val="8"/>
            <color indexed="81"/>
            <rFont val="Tahoma"/>
            <family val="2"/>
          </rPr>
          <t>Unidad transformada Porta-Contenedor (Repotenciada en base Oct-2018)</t>
        </r>
      </text>
    </comment>
    <comment ref="I64" authorId="0">
      <text>
        <r>
          <rPr>
            <b/>
            <sz val="8"/>
            <color indexed="10"/>
            <rFont val="Tahoma"/>
            <family val="2"/>
          </rPr>
          <t xml:space="preserve">EX T-227  B1Y-975 /-/ </t>
        </r>
        <r>
          <rPr>
            <sz val="8"/>
            <color indexed="10"/>
            <rFont val="Tahoma"/>
            <family val="2"/>
          </rPr>
          <t>ZG-8551</t>
        </r>
        <r>
          <rPr>
            <b/>
            <sz val="8"/>
            <color indexed="81"/>
            <rFont val="Tahoma"/>
            <family val="2"/>
          </rPr>
          <t xml:space="preserve"> </t>
        </r>
        <r>
          <rPr>
            <sz val="8"/>
            <color indexed="81"/>
            <rFont val="Tahoma"/>
            <family val="2"/>
          </rPr>
          <t>Unidad transformada Porta-Contenedor (Repotenciada en base Feb-2019)</t>
        </r>
      </text>
    </comment>
    <comment ref="B179" authorId="0">
      <text>
        <r>
          <rPr>
            <sz val="10"/>
            <color indexed="81"/>
            <rFont val="Tahoma"/>
            <family val="2"/>
          </rPr>
          <t>152  YG-6125</t>
        </r>
      </text>
    </comment>
    <comment ref="B180" authorId="0">
      <text>
        <r>
          <rPr>
            <sz val="9"/>
            <color indexed="81"/>
            <rFont val="Tahoma"/>
            <family val="2"/>
          </rPr>
          <t xml:space="preserve">Nro. Placa  </t>
        </r>
        <r>
          <rPr>
            <b/>
            <sz val="10"/>
            <color indexed="10"/>
            <rFont val="Tahoma"/>
            <family val="2"/>
          </rPr>
          <t>T6N-864</t>
        </r>
        <r>
          <rPr>
            <sz val="9"/>
            <color indexed="81"/>
            <rFont val="Tahoma"/>
            <family val="2"/>
          </rPr>
          <t xml:space="preserve">
Nro. Serie  7AT1JGU24345
Nro. Motor  1B0661602
Color  VERD.CLAR BLANCO
Marca  FORD  Modelo  F-100
Placa Anterior </t>
        </r>
        <r>
          <rPr>
            <sz val="9"/>
            <color indexed="10"/>
            <rFont val="Tahoma"/>
            <family val="2"/>
          </rPr>
          <t xml:space="preserve"> PD-2298</t>
        </r>
        <r>
          <rPr>
            <sz val="9"/>
            <color indexed="81"/>
            <rFont val="Tahoma"/>
            <family val="2"/>
          </rPr>
          <t xml:space="preserve">
Propietarios 
TRANSCOSTA S.A.
Sede  TRUJILLO</t>
        </r>
      </text>
    </comment>
    <comment ref="B181" authorId="0">
      <text>
        <r>
          <rPr>
            <b/>
            <sz val="10"/>
            <color indexed="81"/>
            <rFont val="Arial"/>
            <family val="2"/>
          </rPr>
          <t>163  YG-6036</t>
        </r>
      </text>
    </comment>
    <comment ref="B185" authorId="0">
      <text>
        <r>
          <rPr>
            <sz val="9"/>
            <color indexed="81"/>
            <rFont val="Tahoma"/>
            <family val="2"/>
          </rPr>
          <t xml:space="preserve">Nro. Placa  </t>
        </r>
        <r>
          <rPr>
            <b/>
            <sz val="10"/>
            <color indexed="10"/>
            <rFont val="Tahoma"/>
            <family val="2"/>
          </rPr>
          <t>D3V-208</t>
        </r>
        <r>
          <rPr>
            <sz val="9"/>
            <color indexed="81"/>
            <rFont val="Tahoma"/>
            <family val="2"/>
          </rPr>
          <t xml:space="preserve">
Nro. Serie  KMHST81CBDU077138
No. Vin  KMHST81CBDU077138
Nro. Motor  G4KECU923377
Color  NEGRO
Marca  HYUNDAI
Modelo  SANTA FE
Propietarios 
INMOBILIARIA Y CONSTRUCTORA LLACOCCHE S.A.C.
Sede  LIMA</t>
        </r>
      </text>
    </comment>
    <comment ref="B189" authorId="2">
      <text>
        <r>
          <rPr>
            <sz val="9"/>
            <color indexed="81"/>
            <rFont val="Tahoma"/>
            <family val="2"/>
          </rPr>
          <t xml:space="preserve">Nro. Placa  </t>
        </r>
        <r>
          <rPr>
            <b/>
            <sz val="10"/>
            <color indexed="10"/>
            <rFont val="Tahoma"/>
            <family val="2"/>
          </rPr>
          <t>D8P-254</t>
        </r>
        <r>
          <rPr>
            <sz val="9"/>
            <color indexed="81"/>
            <rFont val="Tahoma"/>
            <family val="2"/>
          </rPr>
          <t xml:space="preserve">
Nro. Serie  RX800022981
Nro. Motor  22R3261577
Color  AZUL OSCURO/METALICO
Marca  TOYOTA Modelo  CRESSIDA
Placa Anterior  </t>
        </r>
        <r>
          <rPr>
            <sz val="10"/>
            <color indexed="10"/>
            <rFont val="Tahoma"/>
            <family val="2"/>
          </rPr>
          <t>LQ-2763</t>
        </r>
        <r>
          <rPr>
            <sz val="9"/>
            <color indexed="81"/>
            <rFont val="Tahoma"/>
            <family val="2"/>
          </rPr>
          <t xml:space="preserve">
Propietarios 
QUISPE RAMOS, CESAR ENRIQUE
</t>
        </r>
      </text>
    </comment>
    <comment ref="B192" authorId="0">
      <text>
        <r>
          <rPr>
            <sz val="9"/>
            <color indexed="81"/>
            <rFont val="Tahoma"/>
            <family val="2"/>
          </rPr>
          <t xml:space="preserve">Nro. Placa  </t>
        </r>
        <r>
          <rPr>
            <b/>
            <sz val="10"/>
            <color indexed="10"/>
            <rFont val="Tahoma"/>
            <family val="2"/>
          </rPr>
          <t>RIV-361</t>
        </r>
        <r>
          <rPr>
            <sz val="9"/>
            <color indexed="81"/>
            <rFont val="Tahoma"/>
            <family val="2"/>
          </rPr>
          <t xml:space="preserve">
Nro. Serie  1FMPU18L9YLB47141
Nro. Motor  1FMPU18L9YLB47141
Color  NEGRO
Marca  FORD
Modelo  EXPEDITION EBAU 2000
Propietarios 
TRANSPORTE COMERCIAL Y SEGURO TAKUSHI S.A.C.
Sede  LIMA</t>
        </r>
      </text>
    </comment>
    <comment ref="B193" authorId="2">
      <text>
        <r>
          <rPr>
            <sz val="9"/>
            <color indexed="81"/>
            <rFont val="Tahoma"/>
            <family val="2"/>
          </rPr>
          <t xml:space="preserve">Nro. Placa  </t>
        </r>
        <r>
          <rPr>
            <b/>
            <sz val="10"/>
            <color indexed="10"/>
            <rFont val="Tahoma"/>
            <family val="2"/>
          </rPr>
          <t>D8P-254</t>
        </r>
        <r>
          <rPr>
            <sz val="9"/>
            <color indexed="81"/>
            <rFont val="Tahoma"/>
            <family val="2"/>
          </rPr>
          <t xml:space="preserve">
Nro. Serie  RX800022981
Nro. Motor  22R3261577
Color  AZUL OSCURO/METALICO
Marca  TOYOTA Modelo  CRESSIDA
Placa Anterior  </t>
        </r>
        <r>
          <rPr>
            <sz val="10"/>
            <color indexed="10"/>
            <rFont val="Tahoma"/>
            <family val="2"/>
          </rPr>
          <t>LQ-2763</t>
        </r>
        <r>
          <rPr>
            <sz val="9"/>
            <color indexed="81"/>
            <rFont val="Tahoma"/>
            <family val="2"/>
          </rPr>
          <t xml:space="preserve">
Propietarios 
QUISPE RAMOS, CESAR ENRIQUE
</t>
        </r>
      </text>
    </comment>
    <comment ref="B196" authorId="2">
      <text>
        <r>
          <rPr>
            <b/>
            <sz val="12"/>
            <color indexed="81"/>
            <rFont val="Arial"/>
            <family val="2"/>
          </rPr>
          <t>111  YG-1440</t>
        </r>
      </text>
    </comment>
    <comment ref="H197" authorId="1">
      <text>
        <r>
          <rPr>
            <sz val="10"/>
            <color indexed="81"/>
            <rFont val="Tahoma"/>
            <family val="2"/>
          </rPr>
          <t>ZG-3491</t>
        </r>
      </text>
    </comment>
    <comment ref="H198" authorId="2">
      <text>
        <r>
          <rPr>
            <b/>
            <sz val="12"/>
            <color indexed="81"/>
            <rFont val="Arial"/>
            <family val="2"/>
          </rPr>
          <t>343  ZG-3490</t>
        </r>
      </text>
    </comment>
    <comment ref="B199" authorId="0">
      <text>
        <r>
          <rPr>
            <sz val="10"/>
            <color indexed="81"/>
            <rFont val="Tahoma"/>
            <family val="2"/>
          </rPr>
          <t>124  YG-6385</t>
        </r>
      </text>
    </comment>
    <comment ref="H199" authorId="0">
      <text>
        <r>
          <rPr>
            <b/>
            <sz val="10"/>
            <color indexed="81"/>
            <rFont val="Arial"/>
            <family val="2"/>
          </rPr>
          <t>339  ZG-3486</t>
        </r>
      </text>
    </comment>
    <comment ref="B204" authorId="0">
      <text>
        <r>
          <rPr>
            <sz val="10"/>
            <color indexed="81"/>
            <rFont val="Tahoma"/>
            <family val="2"/>
          </rPr>
          <t>152  YG-6125</t>
        </r>
      </text>
    </comment>
    <comment ref="G204" authorId="0">
      <text>
        <r>
          <rPr>
            <sz val="9"/>
            <color indexed="81"/>
            <rFont val="Tahoma"/>
            <family val="2"/>
          </rPr>
          <t xml:space="preserve">Nro. </t>
        </r>
        <r>
          <rPr>
            <sz val="10"/>
            <color indexed="81"/>
            <rFont val="Tahoma"/>
            <family val="2"/>
          </rPr>
          <t xml:space="preserve">Placa </t>
        </r>
        <r>
          <rPr>
            <sz val="9"/>
            <color indexed="81"/>
            <rFont val="Tahoma"/>
            <family val="2"/>
          </rPr>
          <t xml:space="preserve"> </t>
        </r>
        <r>
          <rPr>
            <b/>
            <sz val="10"/>
            <color indexed="10"/>
            <rFont val="Tahoma"/>
            <family val="2"/>
          </rPr>
          <t>D5M-004</t>
        </r>
        <r>
          <rPr>
            <sz val="9"/>
            <color indexed="81"/>
            <rFont val="Tahoma"/>
            <family val="2"/>
          </rPr>
          <t xml:space="preserve">
Nro. Serie  WBAFR7109DDZ00026
No. Vin  WBAFR7109DDZ00026
Nro. Motor  09048190
Color  NEGRO ZAFIRO METALIZADO
Marca  </t>
        </r>
        <r>
          <rPr>
            <sz val="10"/>
            <color indexed="10"/>
            <rFont val="Tahoma"/>
            <family val="2"/>
          </rPr>
          <t xml:space="preserve">BMW  </t>
        </r>
        <r>
          <rPr>
            <sz val="9"/>
            <color indexed="81"/>
            <rFont val="Tahoma"/>
            <family val="2"/>
          </rPr>
          <t xml:space="preserve">Modelo  </t>
        </r>
        <r>
          <rPr>
            <sz val="10"/>
            <color indexed="10"/>
            <rFont val="Tahoma"/>
            <family val="2"/>
          </rPr>
          <t>535I</t>
        </r>
        <r>
          <rPr>
            <sz val="9"/>
            <color indexed="81"/>
            <rFont val="Tahoma"/>
            <family val="2"/>
          </rPr>
          <t xml:space="preserve">
Propietarios TRANSPORTE COMERCIAL Y SEGURO TAKUSHI S.A.C.
Sede  LIMA</t>
        </r>
      </text>
    </comment>
    <comment ref="B205" authorId="0">
      <text>
        <r>
          <rPr>
            <sz val="9"/>
            <color indexed="81"/>
            <rFont val="Tahoma"/>
            <family val="2"/>
          </rPr>
          <t xml:space="preserve">Nro. Placa  </t>
        </r>
        <r>
          <rPr>
            <b/>
            <sz val="10"/>
            <color indexed="10"/>
            <rFont val="Tahoma"/>
            <family val="2"/>
          </rPr>
          <t>T6N-864</t>
        </r>
        <r>
          <rPr>
            <sz val="9"/>
            <color indexed="81"/>
            <rFont val="Tahoma"/>
            <family val="2"/>
          </rPr>
          <t xml:space="preserve">
Nro. Serie  7AT1JGU24345
Nro. Motor  1B0661602
Color  VERD.CLAR BLANCO
Marca  FORD  Modelo  F-100
Placa Anterior </t>
        </r>
        <r>
          <rPr>
            <sz val="9"/>
            <color indexed="10"/>
            <rFont val="Tahoma"/>
            <family val="2"/>
          </rPr>
          <t xml:space="preserve"> PD-2298</t>
        </r>
        <r>
          <rPr>
            <sz val="9"/>
            <color indexed="81"/>
            <rFont val="Tahoma"/>
            <family val="2"/>
          </rPr>
          <t xml:space="preserve">
Propietarios 
TRANSCOSTA S.A.
Sede  TRUJILLO</t>
        </r>
      </text>
    </comment>
    <comment ref="B206" authorId="0">
      <text>
        <r>
          <rPr>
            <b/>
            <sz val="10"/>
            <color indexed="81"/>
            <rFont val="Arial"/>
            <family val="2"/>
          </rPr>
          <t>163  YG-6036</t>
        </r>
      </text>
    </comment>
    <comment ref="G207" authorId="0">
      <text>
        <r>
          <rPr>
            <sz val="9"/>
            <color indexed="81"/>
            <rFont val="Tahoma"/>
            <family val="2"/>
          </rPr>
          <t xml:space="preserve">N° PLACA: </t>
        </r>
        <r>
          <rPr>
            <b/>
            <sz val="10"/>
            <color indexed="10"/>
            <rFont val="Tahoma"/>
            <family val="2"/>
          </rPr>
          <t>T2Y 821</t>
        </r>
        <r>
          <rPr>
            <sz val="9"/>
            <color indexed="81"/>
            <rFont val="Tahoma"/>
            <family val="2"/>
          </rPr>
          <t xml:space="preserve">
N° SERIE: 3AKJA6CG79DAJ9481
N° VIN: 3AKJA6CG79DAJ9481
N° MOTOR: 06R0998847
COLOR: BLANCO
MARCA: FREIGHTLINER
MODELO: CL120
ESTADO: Normal
SEDE: TRUJILLO
PROPIETARIOS INDUSTRIAS DE FRICCION MASTER SAC</t>
        </r>
      </text>
    </comment>
    <comment ref="G208" authorId="0">
      <text>
        <r>
          <rPr>
            <sz val="9"/>
            <color indexed="81"/>
            <rFont val="Tahoma"/>
            <family val="2"/>
          </rPr>
          <t xml:space="preserve">N° PLACA: </t>
        </r>
        <r>
          <rPr>
            <b/>
            <sz val="10"/>
            <color indexed="10"/>
            <rFont val="Tahoma"/>
            <family val="2"/>
          </rPr>
          <t>T4P-891</t>
        </r>
        <r>
          <rPr>
            <sz val="9"/>
            <color indexed="81"/>
            <rFont val="Tahoma"/>
            <family val="2"/>
          </rPr>
          <t xml:space="preserve">
N° SERIE: 3AKJA6CG59DAJ9477
N° VIN: 3AKJA6CG59DAJ9477
N° MOTOR: 06R0999043
COLOR: BLANCO
MARCA: FREIGHTLINER
MODELO: CL120
ESTADO: Normal
SEDE: TRUJILLO
PROPIETARIOS INDUSTRIAS DE FRICCION MASTER SAC</t>
        </r>
      </text>
    </comment>
    <comment ref="B209" authorId="0">
      <text>
        <r>
          <rPr>
            <sz val="9"/>
            <color indexed="81"/>
            <rFont val="Tahoma"/>
            <family val="2"/>
          </rPr>
          <t xml:space="preserve">Nro. Placa  </t>
        </r>
        <r>
          <rPr>
            <b/>
            <sz val="10"/>
            <color indexed="10"/>
            <rFont val="Tahoma"/>
            <family val="2"/>
          </rPr>
          <t>D3V-208</t>
        </r>
        <r>
          <rPr>
            <sz val="9"/>
            <color indexed="81"/>
            <rFont val="Tahoma"/>
            <family val="2"/>
          </rPr>
          <t xml:space="preserve">
Nro. Serie  KMHST81CBDU077138
No. Vin  KMHST81CBDU077138
Nro. Motor  G4KECU923377
Color  NEGRO
Marca  HYUNDAI
Modelo  SANTA FE
Propietarios 
INMOBILIARIA Y CONSTRUCTORA LLACOCCHE S.A.C.
Sede  LIMA</t>
        </r>
      </text>
    </comment>
    <comment ref="G211" authorId="0">
      <text>
        <r>
          <rPr>
            <sz val="9"/>
            <color indexed="81"/>
            <rFont val="Tahoma"/>
            <family val="2"/>
          </rPr>
          <t xml:space="preserve">Nro. Placa </t>
        </r>
        <r>
          <rPr>
            <b/>
            <sz val="10"/>
            <color indexed="10"/>
            <rFont val="Tahoma"/>
            <family val="2"/>
          </rPr>
          <t xml:space="preserve"> BGD-824</t>
        </r>
        <r>
          <rPr>
            <sz val="9"/>
            <color indexed="81"/>
            <rFont val="Tahoma"/>
            <family val="2"/>
          </rPr>
          <t xml:space="preserve">
Número  de Serie        KLAVA69WDVB097117
Número  de Motor C20NED015107
Color NEGRO Marca DAEWOO 
Modelo LEGANZA 
</t>
        </r>
        <r>
          <rPr>
            <b/>
            <sz val="9"/>
            <color indexed="81"/>
            <rFont val="Tahoma"/>
            <family val="2"/>
          </rPr>
          <t>Placa  Vigente AJL-475</t>
        </r>
        <r>
          <rPr>
            <sz val="9"/>
            <color indexed="81"/>
            <rFont val="Tahoma"/>
            <family val="2"/>
          </rPr>
          <t xml:space="preserve"> Propietarios CHUQUITUCTO LEYV A,  WILSER Sede  LIMA
Nro. Serie  KLAVA69WDVB097117
Nro. Motor  C20NED015107
Color  NEGRO Marca  DAEWOO
Modelo  LEGANZA Propietarios 
MALAGA BEKICH, JORGE LUIS JOSE
Sede  LIMA</t>
        </r>
      </text>
    </comment>
    <comment ref="B212" authorId="0">
      <text>
        <r>
          <rPr>
            <sz val="9"/>
            <color indexed="81"/>
            <rFont val="Tahoma"/>
            <family val="2"/>
          </rPr>
          <t xml:space="preserve">N° PLACA: </t>
        </r>
        <r>
          <rPr>
            <b/>
            <sz val="10"/>
            <color indexed="10"/>
            <rFont val="Tahoma"/>
            <family val="2"/>
          </rPr>
          <t>A1B-846</t>
        </r>
        <r>
          <rPr>
            <sz val="9"/>
            <color indexed="81"/>
            <rFont val="Tahoma"/>
            <family val="2"/>
          </rPr>
          <t xml:space="preserve">
N° SERIE: 3HSWYAHT29N132311
N° VIN: 3HSWYAHT29N132311
N° MOTOR: 35240430
COLOR: BLANCO
MARCA: INTERNATIONAL
MODELO: 7600 SBA 6X4
ESTADO: Normal
SEDE: LIMA
PROPIETARIOS TRANSPORTE COMERCIAL Y SEGURO TAKUSHI</t>
        </r>
      </text>
    </comment>
    <comment ref="G212" authorId="0">
      <text>
        <r>
          <rPr>
            <sz val="9"/>
            <color indexed="81"/>
            <rFont val="Arial"/>
            <family val="2"/>
          </rPr>
          <t xml:space="preserve">Nro. Placa  </t>
        </r>
        <r>
          <rPr>
            <b/>
            <sz val="10"/>
            <color indexed="10"/>
            <rFont val="Arial"/>
            <family val="2"/>
          </rPr>
          <t>AFY-542</t>
        </r>
        <r>
          <rPr>
            <sz val="9"/>
            <color indexed="81"/>
            <rFont val="Arial"/>
            <family val="2"/>
          </rPr>
          <t xml:space="preserve">
Nro. Serie  KNAPB81ABF7747352
No. Vin  KNAPB81ABF7747352
Nro. Motor  G4NAEH820665
Color  rojo señal
Marca  KIA
Modelo  SPORTAGE
Propietarios 
TRANSPORTE COMERCIAL Y SEGURO TAKUSHI SAC.
Sede  LIMA</t>
        </r>
      </text>
    </comment>
    <comment ref="B215" authorId="0">
      <text>
        <r>
          <rPr>
            <sz val="9"/>
            <color indexed="81"/>
            <rFont val="Tahoma"/>
            <family val="2"/>
          </rPr>
          <t xml:space="preserve">Nro. </t>
        </r>
        <r>
          <rPr>
            <sz val="10"/>
            <color indexed="81"/>
            <rFont val="Tahoma"/>
            <family val="2"/>
          </rPr>
          <t xml:space="preserve">Placa </t>
        </r>
        <r>
          <rPr>
            <sz val="9"/>
            <color indexed="81"/>
            <rFont val="Tahoma"/>
            <family val="2"/>
          </rPr>
          <t xml:space="preserve"> </t>
        </r>
        <r>
          <rPr>
            <b/>
            <sz val="10"/>
            <color indexed="10"/>
            <rFont val="Tahoma"/>
            <family val="2"/>
          </rPr>
          <t>D5M-004</t>
        </r>
        <r>
          <rPr>
            <sz val="9"/>
            <color indexed="81"/>
            <rFont val="Tahoma"/>
            <family val="2"/>
          </rPr>
          <t xml:space="preserve">
Nro. Serie  WBAFR7109DDZ00026
No. Vin  WBAFR7109DDZ00026
Nro. Motor  09048190
Color  NEGRO ZAFIRO METALIZADO
Marca  </t>
        </r>
        <r>
          <rPr>
            <sz val="10"/>
            <color indexed="10"/>
            <rFont val="Tahoma"/>
            <family val="2"/>
          </rPr>
          <t xml:space="preserve">BMW  </t>
        </r>
        <r>
          <rPr>
            <sz val="9"/>
            <color indexed="81"/>
            <rFont val="Tahoma"/>
            <family val="2"/>
          </rPr>
          <t xml:space="preserve">Modelo  </t>
        </r>
        <r>
          <rPr>
            <sz val="10"/>
            <color indexed="10"/>
            <rFont val="Tahoma"/>
            <family val="2"/>
          </rPr>
          <t>535I</t>
        </r>
        <r>
          <rPr>
            <sz val="9"/>
            <color indexed="81"/>
            <rFont val="Tahoma"/>
            <family val="2"/>
          </rPr>
          <t xml:space="preserve">
Propietarios TRANSPORTE COMERCIAL Y SEGURO TAKUSHI S.A.C.
Sede  LIMA</t>
        </r>
      </text>
    </comment>
    <comment ref="G215" authorId="0">
      <text>
        <r>
          <rPr>
            <sz val="9"/>
            <color indexed="81"/>
            <rFont val="Tahoma"/>
            <family val="2"/>
          </rPr>
          <t xml:space="preserve">N° PLACA: </t>
        </r>
        <r>
          <rPr>
            <b/>
            <sz val="10"/>
            <color indexed="10"/>
            <rFont val="Tahoma"/>
            <family val="2"/>
          </rPr>
          <t>ANH-873</t>
        </r>
        <r>
          <rPr>
            <sz val="9"/>
            <color indexed="81"/>
            <rFont val="Tahoma"/>
            <family val="2"/>
          </rPr>
          <t xml:space="preserve">
N° SERIE: 3HSWYAHT1GN379896
N° VIN: 3HSWYAHT1GN379896
N° MOTOR: 35335426
COLOR: BLANCO
MARCA: INTERNATIONAL
MODELO: 7600 SBA 6X4
ESTADO: Normal
SEDE: LIMA
PROPIETARIOS TRANSPORTE COMERCIAL Y SEGURO TAKUSHI</t>
        </r>
      </text>
    </comment>
    <comment ref="B218" authorId="0">
      <text>
        <r>
          <rPr>
            <sz val="9"/>
            <color indexed="81"/>
            <rFont val="Tahoma"/>
            <family val="2"/>
          </rPr>
          <t xml:space="preserve">N° PLACA: </t>
        </r>
        <r>
          <rPr>
            <b/>
            <sz val="10"/>
            <color indexed="10"/>
            <rFont val="Tahoma"/>
            <family val="2"/>
          </rPr>
          <t>T2Y 821</t>
        </r>
        <r>
          <rPr>
            <sz val="9"/>
            <color indexed="81"/>
            <rFont val="Tahoma"/>
            <family val="2"/>
          </rPr>
          <t xml:space="preserve">
N° SERIE: 3AKJA6CG79DAJ9481
N° VIN: 3AKJA6CG79DAJ9481
N° MOTOR: 06R0998847
COLOR: BLANCO
MARCA: FREIGHTLINER
MODELO: CL120
ESTADO: Normal
SEDE: TRUJILLO
PROPIETARIOS INDUSTRIAS DE FRICCION MASTER SAC</t>
        </r>
      </text>
    </comment>
    <comment ref="B219" authorId="0">
      <text>
        <r>
          <rPr>
            <sz val="9"/>
            <color indexed="81"/>
            <rFont val="Tahoma"/>
            <family val="2"/>
          </rPr>
          <t xml:space="preserve">N° PLACA: </t>
        </r>
        <r>
          <rPr>
            <b/>
            <sz val="10"/>
            <color indexed="10"/>
            <rFont val="Tahoma"/>
            <family val="2"/>
          </rPr>
          <t>T4P-891</t>
        </r>
        <r>
          <rPr>
            <sz val="9"/>
            <color indexed="81"/>
            <rFont val="Tahoma"/>
            <family val="2"/>
          </rPr>
          <t xml:space="preserve">
N° SERIE: 3AKJA6CG59DAJ9477
N° VIN: 3AKJA6CG59DAJ9477
N° MOTOR: 06R0999043
COLOR: BLANCO
MARCA: FREIGHTLINER
MODELO: CL120
ESTADO: Normal
SEDE: TRUJILLO
PROPIETARIOS INDUSTRIAS DE FRICCION MASTER SAC</t>
        </r>
      </text>
    </comment>
    <comment ref="B222" authorId="0">
      <text>
        <r>
          <rPr>
            <b/>
            <sz val="10"/>
            <color indexed="81"/>
            <rFont val="Tahoma"/>
            <family val="2"/>
          </rPr>
          <t>159  YG-6123</t>
        </r>
      </text>
    </comment>
    <comment ref="B225" authorId="0">
      <text>
        <r>
          <rPr>
            <sz val="10"/>
            <color indexed="10"/>
            <rFont val="Tahoma"/>
            <family val="2"/>
          </rPr>
          <t>158  YG-6124</t>
        </r>
      </text>
    </comment>
    <comment ref="B226" authorId="0">
      <text>
        <r>
          <rPr>
            <sz val="10"/>
            <color indexed="81"/>
            <rFont val="Tahoma"/>
            <family val="2"/>
          </rPr>
          <t>116  YG-1345</t>
        </r>
      </text>
    </comment>
    <comment ref="G227" authorId="0">
      <text>
        <r>
          <rPr>
            <sz val="10"/>
            <color indexed="81"/>
            <rFont val="Tahoma"/>
            <family val="2"/>
          </rPr>
          <t>152  YG-6125</t>
        </r>
      </text>
    </comment>
    <comment ref="G228" authorId="0">
      <text>
        <r>
          <rPr>
            <b/>
            <sz val="10"/>
            <color indexed="81"/>
            <rFont val="Arial"/>
            <family val="2"/>
          </rPr>
          <t>163  YG-6036</t>
        </r>
      </text>
    </comment>
    <comment ref="B229" authorId="2">
      <text>
        <r>
          <rPr>
            <b/>
            <sz val="12"/>
            <color indexed="81"/>
            <rFont val="Arial"/>
            <family val="2"/>
          </rPr>
          <t>111  YG-1440</t>
        </r>
      </text>
    </comment>
    <comment ref="G229" authorId="0">
      <text>
        <r>
          <rPr>
            <sz val="9"/>
            <color indexed="81"/>
            <rFont val="Tahoma"/>
            <family val="2"/>
          </rPr>
          <t xml:space="preserve">Nro. Placa  </t>
        </r>
        <r>
          <rPr>
            <b/>
            <sz val="10"/>
            <color indexed="10"/>
            <rFont val="Tahoma"/>
            <family val="2"/>
          </rPr>
          <t>T6N-864</t>
        </r>
        <r>
          <rPr>
            <sz val="9"/>
            <color indexed="81"/>
            <rFont val="Tahoma"/>
            <family val="2"/>
          </rPr>
          <t xml:space="preserve">
Nro. Serie  7AT1JGU24345
Nro. Motor  1B0661602
Color  VERD.CLAR BLANCO
Marca  FORD  Modelo  F-100
Placa Anterior </t>
        </r>
        <r>
          <rPr>
            <sz val="9"/>
            <color indexed="10"/>
            <rFont val="Tahoma"/>
            <family val="2"/>
          </rPr>
          <t xml:space="preserve"> PD-2298</t>
        </r>
        <r>
          <rPr>
            <sz val="9"/>
            <color indexed="81"/>
            <rFont val="Tahoma"/>
            <family val="2"/>
          </rPr>
          <t xml:space="preserve">
Propietarios 
TRANSCOSTA S.A.
Sede  TRUJILLO</t>
        </r>
      </text>
    </comment>
    <comment ref="B230" authorId="0">
      <text>
        <r>
          <rPr>
            <sz val="10"/>
            <color indexed="81"/>
            <rFont val="Tahoma"/>
            <family val="2"/>
          </rPr>
          <t>124  YG-6385</t>
        </r>
      </text>
    </comment>
    <comment ref="G232" authorId="0">
      <text>
        <r>
          <rPr>
            <sz val="9"/>
            <color indexed="81"/>
            <rFont val="Tahoma"/>
            <family val="2"/>
          </rPr>
          <t xml:space="preserve">Nro. Placa  </t>
        </r>
        <r>
          <rPr>
            <b/>
            <sz val="10"/>
            <color indexed="10"/>
            <rFont val="Tahoma"/>
            <family val="2"/>
          </rPr>
          <t>D3V-208</t>
        </r>
        <r>
          <rPr>
            <sz val="9"/>
            <color indexed="81"/>
            <rFont val="Tahoma"/>
            <family val="2"/>
          </rPr>
          <t xml:space="preserve">
Nro. Serie  KMHST81CBDU077138
No. Vin  KMHST81CBDU077138
Nro. Motor  G4KECU923377
Color  NEGRO
Marca  HYUNDAI
Modelo  SANTA FE
Propietarios 
INMOBILIARIA Y CONSTRUCTORA LLACOCCHE S.A.C.
Sede  LIMA</t>
        </r>
      </text>
    </comment>
    <comment ref="B233" authorId="2">
      <text>
        <r>
          <rPr>
            <b/>
            <sz val="12"/>
            <color indexed="81"/>
            <rFont val="Arial"/>
            <family val="2"/>
          </rPr>
          <t>111  YG-1440</t>
        </r>
      </text>
    </comment>
    <comment ref="G235" authorId="0">
      <text>
        <r>
          <rPr>
            <sz val="10"/>
            <color indexed="10"/>
            <rFont val="Arial"/>
            <family val="2"/>
          </rPr>
          <t>155  YG-6407</t>
        </r>
      </text>
    </comment>
    <comment ref="B236" authorId="0">
      <text>
        <r>
          <rPr>
            <sz val="10"/>
            <color indexed="81"/>
            <rFont val="Tahoma"/>
            <family val="2"/>
          </rPr>
          <t>152  YG-6125</t>
        </r>
      </text>
    </comment>
    <comment ref="B237" authorId="0">
      <text>
        <r>
          <rPr>
            <b/>
            <sz val="10"/>
            <color indexed="81"/>
            <rFont val="Arial"/>
            <family val="2"/>
          </rPr>
          <t>163  YG-6036</t>
        </r>
      </text>
    </comment>
    <comment ref="B238" authorId="0">
      <text>
        <r>
          <rPr>
            <sz val="9"/>
            <color indexed="81"/>
            <rFont val="Tahoma"/>
            <family val="2"/>
          </rPr>
          <t xml:space="preserve">Nro. Placa  </t>
        </r>
        <r>
          <rPr>
            <b/>
            <sz val="10"/>
            <color indexed="10"/>
            <rFont val="Tahoma"/>
            <family val="2"/>
          </rPr>
          <t>T6N-864</t>
        </r>
        <r>
          <rPr>
            <sz val="9"/>
            <color indexed="81"/>
            <rFont val="Tahoma"/>
            <family val="2"/>
          </rPr>
          <t xml:space="preserve">
Nro. Serie  7AT1JGU24345
Nro. Motor  1B0661602
Color  VERD.CLAR BLANCO
Marca  FORD  Modelo  F-100
Placa Anterior </t>
        </r>
        <r>
          <rPr>
            <sz val="9"/>
            <color indexed="10"/>
            <rFont val="Tahoma"/>
            <family val="2"/>
          </rPr>
          <t xml:space="preserve"> PD-2298</t>
        </r>
        <r>
          <rPr>
            <sz val="9"/>
            <color indexed="81"/>
            <rFont val="Tahoma"/>
            <family val="2"/>
          </rPr>
          <t xml:space="preserve">
Propietarios 
TRANSCOSTA S.A.
Sede  TRUJILLO</t>
        </r>
      </text>
    </comment>
    <comment ref="G238" authorId="0">
      <text>
        <r>
          <rPr>
            <sz val="9"/>
            <color indexed="81"/>
            <rFont val="Tahoma"/>
            <family val="2"/>
          </rPr>
          <t xml:space="preserve">N° PLACA: </t>
        </r>
        <r>
          <rPr>
            <b/>
            <sz val="10"/>
            <color indexed="10"/>
            <rFont val="Tahoma"/>
            <family val="2"/>
          </rPr>
          <t>A1B-846</t>
        </r>
        <r>
          <rPr>
            <sz val="9"/>
            <color indexed="81"/>
            <rFont val="Tahoma"/>
            <family val="2"/>
          </rPr>
          <t xml:space="preserve">
N° SERIE: 3HSWYAHT29N132311
N° VIN: 3HSWYAHT29N132311
N° MOTOR: 35240430
COLOR: BLANCO
MARCA: INTERNATIONAL
MODELO: 7600 SBA 6X4
ESTADO: Normal
SEDE: LIMA
PROPIETARIOS TRANSPORTE COMERCIAL Y SEGURO TAKUSHI</t>
        </r>
      </text>
    </comment>
    <comment ref="B241" authorId="0">
      <text>
        <r>
          <rPr>
            <sz val="9"/>
            <color indexed="81"/>
            <rFont val="Tahoma"/>
            <family val="2"/>
          </rPr>
          <t xml:space="preserve">Nro. Placa  </t>
        </r>
        <r>
          <rPr>
            <b/>
            <sz val="10"/>
            <color indexed="10"/>
            <rFont val="Tahoma"/>
            <family val="2"/>
          </rPr>
          <t>D3V-208</t>
        </r>
        <r>
          <rPr>
            <sz val="9"/>
            <color indexed="81"/>
            <rFont val="Tahoma"/>
            <family val="2"/>
          </rPr>
          <t xml:space="preserve">
Nro. Serie  KMHST81CBDU077138
No. Vin  KMHST81CBDU077138
Nro. Motor  G4KECU923377
Color  NEGRO
Marca  HYUNDAI
Modelo  SANTA FE
Propietarios 
INMOBILIARIA Y CONSTRUCTORA LLACOCCHE S.A.C.
Sede  LIMA</t>
        </r>
      </text>
    </comment>
    <comment ref="B244" authorId="0">
      <text>
        <r>
          <rPr>
            <sz val="9"/>
            <color indexed="81"/>
            <rFont val="Tahoma"/>
            <family val="2"/>
          </rPr>
          <t xml:space="preserve">N° PLACA: </t>
        </r>
        <r>
          <rPr>
            <b/>
            <sz val="10"/>
            <color indexed="10"/>
            <rFont val="Tahoma"/>
            <family val="2"/>
          </rPr>
          <t>A1B-846</t>
        </r>
        <r>
          <rPr>
            <sz val="9"/>
            <color indexed="81"/>
            <rFont val="Tahoma"/>
            <family val="2"/>
          </rPr>
          <t xml:space="preserve">
N° SERIE: 3HSWYAHT29N132311
N° VIN: 3HSWYAHT29N132311
N° MOTOR: 35240430
COLOR: BLANCO
MARCA: INTERNATIONAL
MODELO: 7600 SBA 6X4
ESTADO: Normal
SEDE: LIMA
PROPIETARIOS TRANSPORTE COMERCIAL Y SEGURO TAKUSHI</t>
        </r>
      </text>
    </comment>
    <comment ref="B247" authorId="0">
      <text>
        <r>
          <rPr>
            <b/>
            <sz val="10"/>
            <color indexed="81"/>
            <rFont val="Tahoma"/>
            <family val="2"/>
          </rPr>
          <t>159  YG-6123</t>
        </r>
      </text>
    </comment>
    <comment ref="B287" authorId="0">
      <text>
        <r>
          <rPr>
            <sz val="10"/>
            <color indexed="10"/>
            <rFont val="Tahoma"/>
            <family val="2"/>
          </rPr>
          <t>101  YG-1384</t>
        </r>
      </text>
    </comment>
    <comment ref="B288" authorId="0">
      <text>
        <r>
          <rPr>
            <sz val="10"/>
            <color indexed="81"/>
            <rFont val="Tahoma"/>
            <family val="2"/>
          </rPr>
          <t>105  YG-1335</t>
        </r>
      </text>
    </comment>
    <comment ref="B289" authorId="0">
      <text>
        <r>
          <rPr>
            <b/>
            <sz val="10"/>
            <color indexed="81"/>
            <rFont val="Arial"/>
            <family val="2"/>
          </rPr>
          <t>114  YG-1396</t>
        </r>
      </text>
    </comment>
    <comment ref="B290" authorId="1">
      <text>
        <r>
          <rPr>
            <sz val="10"/>
            <color indexed="81"/>
            <rFont val="Tahoma"/>
            <family val="2"/>
          </rPr>
          <t>YG-1461</t>
        </r>
      </text>
    </comment>
    <comment ref="B291" authorId="0">
      <text>
        <r>
          <rPr>
            <sz val="10"/>
            <color indexed="81"/>
            <rFont val="Tahoma"/>
            <family val="2"/>
          </rPr>
          <t>123  YG-1705</t>
        </r>
      </text>
    </comment>
    <comment ref="B292" authorId="2">
      <text>
        <r>
          <rPr>
            <b/>
            <sz val="12"/>
            <color indexed="81"/>
            <rFont val="Arial"/>
            <family val="2"/>
          </rPr>
          <t>153  YG-6162</t>
        </r>
      </text>
    </comment>
    <comment ref="B293" authorId="0">
      <text>
        <r>
          <rPr>
            <sz val="10"/>
            <color indexed="10"/>
            <rFont val="Arial"/>
            <family val="2"/>
          </rPr>
          <t>154  YG-6127</t>
        </r>
      </text>
    </comment>
    <comment ref="B294" authorId="0">
      <text>
        <r>
          <rPr>
            <b/>
            <sz val="10"/>
            <color indexed="81"/>
            <rFont val="Arial"/>
            <family val="2"/>
          </rPr>
          <t>156  YG-6126</t>
        </r>
      </text>
    </comment>
    <comment ref="B295" authorId="0">
      <text>
        <r>
          <rPr>
            <sz val="10"/>
            <color indexed="10"/>
            <rFont val="Tahoma"/>
            <family val="2"/>
          </rPr>
          <t>160  YG-6134</t>
        </r>
      </text>
    </comment>
    <comment ref="B296" authorId="0">
      <text>
        <r>
          <rPr>
            <sz val="10"/>
            <color indexed="81"/>
            <rFont val="Tahoma"/>
            <family val="2"/>
          </rPr>
          <t>161  YG-6035</t>
        </r>
      </text>
    </comment>
    <comment ref="B297" authorId="0">
      <text>
        <r>
          <rPr>
            <sz val="10"/>
            <color indexed="81"/>
            <rFont val="Tahoma"/>
            <family val="2"/>
          </rPr>
          <t>162  YG-6129</t>
        </r>
      </text>
    </comment>
    <comment ref="B298" authorId="2">
      <text>
        <r>
          <rPr>
            <b/>
            <sz val="8"/>
            <color indexed="81"/>
            <rFont val="Tahoma"/>
            <family val="2"/>
          </rPr>
          <t>164  YG-6161</t>
        </r>
      </text>
    </comment>
    <comment ref="B299" authorId="2">
      <text>
        <r>
          <rPr>
            <b/>
            <sz val="12"/>
            <color indexed="81"/>
            <rFont val="Arial"/>
            <family val="2"/>
          </rPr>
          <t>165  YG-6130</t>
        </r>
      </text>
    </comment>
    <comment ref="B300" authorId="2">
      <text>
        <r>
          <rPr>
            <b/>
            <sz val="8"/>
            <color indexed="81"/>
            <rFont val="Tahoma"/>
            <family val="2"/>
          </rPr>
          <t>166  YG-6131</t>
        </r>
      </text>
    </comment>
    <comment ref="B301" authorId="2">
      <text>
        <r>
          <rPr>
            <b/>
            <sz val="12"/>
            <color indexed="81"/>
            <rFont val="Arial"/>
            <family val="2"/>
          </rPr>
          <t>167  YG-6132</t>
        </r>
      </text>
    </comment>
    <comment ref="B302" authorId="0">
      <text>
        <r>
          <rPr>
            <b/>
            <sz val="10"/>
            <color indexed="81"/>
            <rFont val="Tahoma"/>
            <family val="2"/>
          </rPr>
          <t>169  YG-6033</t>
        </r>
      </text>
    </comment>
    <comment ref="B303" authorId="0">
      <text>
        <r>
          <rPr>
            <sz val="10"/>
            <color indexed="10"/>
            <rFont val="Tahoma"/>
            <family val="2"/>
          </rPr>
          <t>170  YG-6034</t>
        </r>
      </text>
    </comment>
    <comment ref="B304" authorId="0">
      <text>
        <r>
          <rPr>
            <sz val="9"/>
            <color indexed="81"/>
            <rFont val="Tahoma"/>
            <family val="2"/>
          </rPr>
          <t xml:space="preserve">Nro. Placa  </t>
        </r>
        <r>
          <rPr>
            <b/>
            <sz val="10"/>
            <color indexed="10"/>
            <rFont val="Tahoma"/>
            <family val="2"/>
          </rPr>
          <t>F5D-932</t>
        </r>
        <r>
          <rPr>
            <sz val="9"/>
            <color indexed="81"/>
            <rFont val="Tahoma"/>
            <family val="2"/>
          </rPr>
          <t xml:space="preserve">
Nro. Serie  UBGD21402378
Nro. Motor  TD27300910
Color  BLANCO   Marca  NISSAN
Modelo  11ZUBLGD21SFA
Placa Anterior  </t>
        </r>
        <r>
          <rPr>
            <sz val="10"/>
            <color indexed="10"/>
            <rFont val="Tahoma"/>
            <family val="2"/>
          </rPr>
          <t>OO-6373</t>
        </r>
        <r>
          <rPr>
            <sz val="9"/>
            <color indexed="81"/>
            <rFont val="Tahoma"/>
            <family val="2"/>
          </rPr>
          <t xml:space="preserve">
Propietarios 
TRANSPORTE COMERCIAL Y SEGURO TAKUSHI S.A.C.</t>
        </r>
      </text>
    </comment>
  </commentList>
</comments>
</file>

<file path=xl/comments3.xml><?xml version="1.0" encoding="utf-8"?>
<comments xmlns="http://schemas.openxmlformats.org/spreadsheetml/2006/main">
  <authors>
    <author>Cesar Quispe R.</author>
    <author>Cesar Quispe Ramos</author>
    <author>Cesar Enrique Quispe Ramos</author>
    <author>CesarQ</author>
  </authors>
  <commentList>
    <comment ref="H3" authorId="0">
      <text>
        <r>
          <rPr>
            <sz val="8"/>
            <color indexed="10"/>
            <rFont val="Arial Narrow"/>
            <family val="2"/>
          </rPr>
          <t>Al 04/07/12</t>
        </r>
        <r>
          <rPr>
            <sz val="8"/>
            <color indexed="81"/>
            <rFont val="Arial Narrow"/>
            <family val="2"/>
          </rPr>
          <t xml:space="preserve"> En Reparacion por Motor (cigueñal roto)</t>
        </r>
      </text>
    </comment>
    <comment ref="I3" authorId="0">
      <text>
        <r>
          <rPr>
            <sz val="8"/>
            <color indexed="10"/>
            <rFont val="Arial Narrow"/>
            <family val="2"/>
          </rPr>
          <t>Al 04/07/12</t>
        </r>
        <r>
          <rPr>
            <sz val="8"/>
            <color indexed="81"/>
            <rFont val="Arial Narrow"/>
            <family val="2"/>
          </rPr>
          <t xml:space="preserve"> En Reparacion por Motor (cigueñal roto)</t>
        </r>
      </text>
    </comment>
    <comment ref="B4" authorId="1">
      <text>
        <r>
          <rPr>
            <sz val="9"/>
            <color indexed="81"/>
            <rFont val="Tahoma"/>
            <family val="2"/>
          </rPr>
          <t>En Taller: Chasis partido al 03/04/2008 12:30hrs.INOPERATIVO</t>
        </r>
      </text>
    </comment>
    <comment ref="C4" authorId="1">
      <text>
        <r>
          <rPr>
            <sz val="9"/>
            <color indexed="81"/>
            <rFont val="Tahoma"/>
            <family val="2"/>
          </rPr>
          <t>En Taller: Chasis partido al 03/04/2008 12:30hrs.INOPERATIVO</t>
        </r>
      </text>
    </comment>
    <comment ref="H7" authorId="1">
      <text>
        <r>
          <rPr>
            <sz val="8"/>
            <color indexed="81"/>
            <rFont val="Arial"/>
            <family val="2"/>
          </rPr>
          <t>En Taller: con motor reparado, falta acondicionar caja,coronas y cabina (fallo motor al 30/07/ 2007), la unidad se habilito al 01/10/10</t>
        </r>
      </text>
    </comment>
    <comment ref="I7" authorId="1">
      <text>
        <r>
          <rPr>
            <sz val="8"/>
            <color indexed="81"/>
            <rFont val="Arial"/>
            <family val="2"/>
          </rPr>
          <t>En Taller: con motor reparado, falta acondicionar caja,coronas y cabina (fallo motor al 30/07/ 2007), la unidad se habilito al 01/10/10</t>
        </r>
      </text>
    </comment>
    <comment ref="B8" authorId="0">
      <text>
        <r>
          <rPr>
            <sz val="8"/>
            <color indexed="10"/>
            <rFont val="Arial Narrow"/>
            <family val="2"/>
          </rPr>
          <t>Al 04/07/12</t>
        </r>
        <r>
          <rPr>
            <sz val="8"/>
            <color indexed="81"/>
            <rFont val="Arial Narrow"/>
            <family val="2"/>
          </rPr>
          <t xml:space="preserve"> En Reparacion por suspensión </t>
        </r>
      </text>
    </comment>
    <comment ref="C8" authorId="0">
      <text>
        <r>
          <rPr>
            <sz val="8"/>
            <color indexed="10"/>
            <rFont val="Arial Narrow"/>
            <family val="2"/>
          </rPr>
          <t>Al 04/07/12</t>
        </r>
        <r>
          <rPr>
            <sz val="8"/>
            <color indexed="81"/>
            <rFont val="Arial Narrow"/>
            <family val="2"/>
          </rPr>
          <t xml:space="preserve"> En Reparacion por suspensión </t>
        </r>
      </text>
    </comment>
    <comment ref="H9" authorId="0">
      <text>
        <r>
          <rPr>
            <sz val="8"/>
            <color indexed="10"/>
            <rFont val="Arial Narrow"/>
            <family val="2"/>
          </rPr>
          <t>Al 04/07/12</t>
        </r>
        <r>
          <rPr>
            <sz val="8"/>
            <color indexed="81"/>
            <rFont val="Arial Narrow"/>
            <family val="2"/>
          </rPr>
          <t xml:space="preserve"> En Reparacion por Motor (baja presion de aceite)</t>
        </r>
      </text>
    </comment>
    <comment ref="I9" authorId="0">
      <text>
        <r>
          <rPr>
            <sz val="8"/>
            <color indexed="10"/>
            <rFont val="Arial Narrow"/>
            <family val="2"/>
          </rPr>
          <t>Al 04/07/12</t>
        </r>
        <r>
          <rPr>
            <sz val="8"/>
            <color indexed="81"/>
            <rFont val="Arial Narrow"/>
            <family val="2"/>
          </rPr>
          <t xml:space="preserve"> En Reparacion por Motor (baja presion de aceite)</t>
        </r>
      </text>
    </comment>
    <comment ref="N9" authorId="0">
      <text>
        <r>
          <rPr>
            <sz val="8"/>
            <color indexed="81"/>
            <rFont val="Tahoma"/>
            <family val="2"/>
          </rPr>
          <t xml:space="preserve">Unidad Vendida al 14/03/2012 - Reg_Notaria Galvez (ICC-CQR)
</t>
        </r>
      </text>
    </comment>
    <comment ref="P9" authorId="0">
      <text>
        <r>
          <rPr>
            <sz val="8"/>
            <color indexed="81"/>
            <rFont val="Tahoma"/>
            <family val="2"/>
          </rPr>
          <t xml:space="preserve">Unidad Vendida al 14/03/2012 - Reg_Notaria Galvez (ICC-CQR)
</t>
        </r>
      </text>
    </comment>
    <comment ref="B10" authorId="0">
      <text>
        <r>
          <rPr>
            <sz val="8"/>
            <color indexed="10"/>
            <rFont val="Arial Narrow"/>
            <family val="2"/>
          </rPr>
          <t>Al 04/07/12</t>
        </r>
        <r>
          <rPr>
            <sz val="8"/>
            <color indexed="81"/>
            <rFont val="Arial Narrow"/>
            <family val="2"/>
          </rPr>
          <t xml:space="preserve"> En Reparacion Total (depositado en C-339)</t>
        </r>
      </text>
    </comment>
    <comment ref="C10" authorId="0">
      <text>
        <r>
          <rPr>
            <sz val="8"/>
            <color indexed="10"/>
            <rFont val="Arial Narrow"/>
            <family val="2"/>
          </rPr>
          <t>Al 04/07/12</t>
        </r>
        <r>
          <rPr>
            <sz val="8"/>
            <color indexed="81"/>
            <rFont val="Arial Narrow"/>
            <family val="2"/>
          </rPr>
          <t xml:space="preserve"> En Reparacion Total (depositado en C-339)</t>
        </r>
      </text>
    </comment>
    <comment ref="H10" authorId="0">
      <text>
        <r>
          <rPr>
            <sz val="8"/>
            <color indexed="10"/>
            <rFont val="Arial Narrow"/>
            <family val="2"/>
          </rPr>
          <t>Al 04/07/12</t>
        </r>
        <r>
          <rPr>
            <sz val="8"/>
            <color indexed="81"/>
            <rFont val="Arial Narrow"/>
            <family val="2"/>
          </rPr>
          <t xml:space="preserve"> En Reparacion por Motor (baja presion de aceite)</t>
        </r>
      </text>
    </comment>
    <comment ref="I10" authorId="0">
      <text>
        <r>
          <rPr>
            <sz val="8"/>
            <color indexed="10"/>
            <rFont val="Arial Narrow"/>
            <family val="2"/>
          </rPr>
          <t>Al 04/07/12</t>
        </r>
        <r>
          <rPr>
            <sz val="8"/>
            <color indexed="81"/>
            <rFont val="Arial Narrow"/>
            <family val="2"/>
          </rPr>
          <t xml:space="preserve"> En Reparacion por Motor (baja presion de aceite)</t>
        </r>
      </text>
    </comment>
    <comment ref="N10" authorId="0">
      <text>
        <r>
          <rPr>
            <sz val="8"/>
            <color indexed="10"/>
            <rFont val="Arial Narrow"/>
            <family val="2"/>
          </rPr>
          <t>CONTRATO de VENTA  Motocicleta HONDA CGL125 [ Placa: NG-42755 ] Se vendio a Ubelser Martinez (moto enviada a cajamarca)</t>
        </r>
      </text>
    </comment>
    <comment ref="P10" authorId="0">
      <text>
        <r>
          <rPr>
            <sz val="8"/>
            <color indexed="10"/>
            <rFont val="Arial Narrow"/>
            <family val="2"/>
          </rPr>
          <t xml:space="preserve">CONTRATO de VENTA  Motocicleta HONDA CGL125 [ Placa: NG-42755 ]
</t>
        </r>
        <r>
          <rPr>
            <sz val="8"/>
            <color indexed="81"/>
            <rFont val="Arial Narrow"/>
            <family val="2"/>
          </rPr>
          <t>Callao, 11 de Setiembre de 2012.
Mediante la presente a la fecha se hace ENTREGA EN CALIDAD DE VENTA al  señor  SELAYA CHAMORRO, HENRY [COMPRADOR] con DNI 09599040 domiciliado en AV SAN JUAN 661 SAN LUIS - LIMA, la Motocicleta HONDA CGL125, color Azul, Año 2007 de Placa de Rodaje NG-42755 de propiedad de TRANSPORTE COMERCIAL Y SEGURO TAKUSHI S.A.C. [VENDEDOR], en buen estado de funcionamiento, con tarjeta de propiedad y SOAT vigente a Feb-2013; Haciéndose responsable el señor SELAYA CHAMORRO, HENRY ante cualquier hecho de accidente, policial, judicial y/o extrajudicial a partir  de la fecha 11 de setiembre de 2012 .
El monto pactado es de S/. 2,000.00= (Dos Mil Nuevos Soles y 00/100) con pagos parciales acumulados según detalle:
1. Pago de 20% del monto de pago semanal cuando supere los S/.120.00= de sus haberes semanales.
2. Pago de 50% de monto de pago de gratificaciones según corresponda.
3. Pago de 50% de monto de pago de Vacaciones según corresponda.
4. los pagos serán descontados hasta llegar al monto pactado (S/. 2,000.00), una vez cumplido el pago; se procederá a la firma de la transferencia en la notaria, corriendo con los gastos el COMPRADOR.
5. En caso no se completen los pagos EL COMPRADOR deberá devolver la Motocicleta HONDA CGL125 de Placa: NG-42755.
En señal de conformidad ambas partes suscriben el presente documento
ITALO CORDANO COCHELLA                           SELAYA CHAMORRO, HENRY
          Representante                                                             D.N.I. : 09599040
Transporte Comercial y Seguro Takushi SAC         RECIBI CONFORME</t>
        </r>
      </text>
    </comment>
    <comment ref="B11" authorId="1">
      <text>
        <r>
          <rPr>
            <sz val="8"/>
            <color indexed="81"/>
            <rFont val="Arial Narrow"/>
            <family val="2"/>
          </rPr>
          <t>Unidad en taller: s/motor, pocos accesorios al 18/11/2009</t>
        </r>
      </text>
    </comment>
    <comment ref="C11" authorId="1">
      <text>
        <r>
          <rPr>
            <sz val="8"/>
            <color indexed="81"/>
            <rFont val="Arial Narrow"/>
            <family val="2"/>
          </rPr>
          <t>Unidad en taller: s/motor, pocos accesorios al 18/11/2009</t>
        </r>
      </text>
    </comment>
    <comment ref="N11" authorId="1">
      <text>
        <r>
          <rPr>
            <sz val="8"/>
            <color indexed="81"/>
            <rFont val="Tahoma"/>
            <family val="2"/>
          </rPr>
          <t xml:space="preserve">Llantas para camioneta Kia Sorento (2004 petrolero)  las que tiene instaladas son:
</t>
        </r>
        <r>
          <rPr>
            <sz val="8"/>
            <color indexed="10"/>
            <rFont val="Tahoma"/>
            <family val="2"/>
          </rPr>
          <t>GOODYEAR  –  WRANGLER  AT/S 
114/111S    M+ S  LT 245/75 R16</t>
        </r>
      </text>
    </comment>
    <comment ref="N12" authorId="0">
      <text>
        <r>
          <rPr>
            <b/>
            <sz val="8"/>
            <color indexed="81"/>
            <rFont val="Tahoma"/>
            <family val="2"/>
          </rPr>
          <t>Notaria PAINO</t>
        </r>
        <r>
          <rPr>
            <sz val="8"/>
            <color indexed="81"/>
            <rFont val="Tahoma"/>
            <family val="2"/>
          </rPr>
          <t xml:space="preserve">
Aramburu 668 surquillo
</t>
        </r>
        <r>
          <rPr>
            <b/>
            <sz val="8"/>
            <color indexed="81"/>
            <rFont val="Tahoma"/>
            <family val="2"/>
          </rPr>
          <t>Tlf 422-0092</t>
        </r>
        <r>
          <rPr>
            <sz val="8"/>
            <color indexed="81"/>
            <rFont val="Tahoma"/>
            <family val="2"/>
          </rPr>
          <t xml:space="preserve">
Fax 441-1791
</t>
        </r>
      </text>
    </comment>
    <comment ref="B13" authorId="0">
      <text>
        <r>
          <rPr>
            <sz val="8"/>
            <color indexed="10"/>
            <rFont val="Arial Narrow"/>
            <family val="2"/>
          </rPr>
          <t>Al 04/07/12</t>
        </r>
        <r>
          <rPr>
            <sz val="8"/>
            <color indexed="81"/>
            <rFont val="Arial Narrow"/>
            <family val="2"/>
          </rPr>
          <t xml:space="preserve"> En estado de perdida total por chasis roto, se soldo y reforzo  Chasis </t>
        </r>
        <r>
          <rPr>
            <b/>
            <sz val="8"/>
            <color indexed="81"/>
            <rFont val="Arial Narrow"/>
            <family val="2"/>
          </rPr>
          <t>Oct-2012</t>
        </r>
        <r>
          <rPr>
            <sz val="8"/>
            <color indexed="81"/>
            <rFont val="Arial Narrow"/>
            <family val="2"/>
          </rPr>
          <t xml:space="preserve">
</t>
        </r>
      </text>
    </comment>
    <comment ref="C13" authorId="0">
      <text>
        <r>
          <rPr>
            <sz val="8"/>
            <color indexed="10"/>
            <rFont val="Arial Narrow"/>
            <family val="2"/>
          </rPr>
          <t>Al 04/07/12</t>
        </r>
        <r>
          <rPr>
            <sz val="8"/>
            <color indexed="81"/>
            <rFont val="Arial Narrow"/>
            <family val="2"/>
          </rPr>
          <t xml:space="preserve"> En estado de perdida total por chasis roto, se soldo y reforzo  Chasis </t>
        </r>
        <r>
          <rPr>
            <b/>
            <sz val="8"/>
            <color indexed="81"/>
            <rFont val="Arial Narrow"/>
            <family val="2"/>
          </rPr>
          <t>Oct-2012</t>
        </r>
        <r>
          <rPr>
            <sz val="8"/>
            <color indexed="81"/>
            <rFont val="Arial Narrow"/>
            <family val="2"/>
          </rPr>
          <t xml:space="preserve">
</t>
        </r>
      </text>
    </comment>
    <comment ref="R14" authorId="1">
      <text>
        <r>
          <rPr>
            <sz val="9"/>
            <color indexed="81"/>
            <rFont val="Tahoma"/>
            <family val="2"/>
          </rPr>
          <t xml:space="preserve">Seguros </t>
        </r>
        <r>
          <rPr>
            <b/>
            <sz val="9"/>
            <color indexed="81"/>
            <rFont val="Tahoma"/>
            <family val="2"/>
          </rPr>
          <t xml:space="preserve">RIMAC </t>
        </r>
        <r>
          <rPr>
            <sz val="9"/>
            <color indexed="81"/>
            <rFont val="Tahoma"/>
            <family val="2"/>
          </rPr>
          <t>S/. 125.00= en TOTUS de Canta Callao</t>
        </r>
      </text>
    </comment>
    <comment ref="H15" authorId="0">
      <text>
        <r>
          <rPr>
            <sz val="8"/>
            <color indexed="10"/>
            <rFont val="Arial Narrow"/>
            <family val="2"/>
          </rPr>
          <t>Al 04/07/12</t>
        </r>
        <r>
          <rPr>
            <sz val="8"/>
            <color indexed="81"/>
            <rFont val="Arial Narrow"/>
            <family val="2"/>
          </rPr>
          <t xml:space="preserve"> En revision por falla de Motor (baja presion de aceite)</t>
        </r>
      </text>
    </comment>
    <comment ref="I15" authorId="0">
      <text>
        <r>
          <rPr>
            <sz val="8"/>
            <color indexed="10"/>
            <rFont val="Arial Narrow"/>
            <family val="2"/>
          </rPr>
          <t>Al 04/07/12</t>
        </r>
        <r>
          <rPr>
            <sz val="8"/>
            <color indexed="81"/>
            <rFont val="Arial Narrow"/>
            <family val="2"/>
          </rPr>
          <t xml:space="preserve"> En revision por falla de Motor (baja presion de aceite) Salio al 25/01/14 M.Tejada </t>
        </r>
      </text>
    </comment>
    <comment ref="Q16" authorId="1">
      <text>
        <r>
          <rPr>
            <sz val="10"/>
            <color indexed="81"/>
            <rFont val="Arial"/>
            <family val="2"/>
          </rPr>
          <t>TRANSCOSTA001- tc2000</t>
        </r>
      </text>
    </comment>
    <comment ref="Q17" authorId="0">
      <text>
        <r>
          <rPr>
            <sz val="9"/>
            <color indexed="81"/>
            <rFont val="Arial"/>
            <family val="2"/>
          </rPr>
          <t xml:space="preserve">124747-654-321-2//124721-700-770-4 </t>
        </r>
      </text>
    </comment>
    <comment ref="B18" authorId="1">
      <text>
        <r>
          <rPr>
            <sz val="8"/>
            <color indexed="81"/>
            <rFont val="Arial Narrow"/>
            <family val="2"/>
          </rPr>
          <t>1ª Unidad Transferida a Takushi S.A.C. 06/10//2008</t>
        </r>
      </text>
    </comment>
    <comment ref="C18" authorId="1">
      <text>
        <r>
          <rPr>
            <sz val="8"/>
            <color indexed="81"/>
            <rFont val="Arial Narrow"/>
            <family val="2"/>
          </rPr>
          <t>1ª Unidad Transferida a Takushi S.A.C. 06/10//2008</t>
        </r>
      </text>
    </comment>
    <comment ref="Q18" authorId="1">
      <text>
        <r>
          <rPr>
            <sz val="10"/>
            <color indexed="81"/>
            <rFont val="Arial"/>
            <family val="2"/>
          </rPr>
          <t>20492292592-236561-2</t>
        </r>
      </text>
    </comment>
    <comment ref="S18" authorId="1">
      <text>
        <r>
          <rPr>
            <b/>
            <sz val="8"/>
            <color indexed="81"/>
            <rFont val="Tahoma"/>
            <family val="2"/>
          </rPr>
          <t xml:space="preserve">Avisar a OPERACIONES </t>
        </r>
        <r>
          <rPr>
            <sz val="8"/>
            <color indexed="81"/>
            <rFont val="Tahoma"/>
            <family val="2"/>
          </rPr>
          <t>(F_Tamara) los dias 25 de cada mes aprox.</t>
        </r>
      </text>
    </comment>
    <comment ref="H20" authorId="1">
      <text>
        <r>
          <rPr>
            <sz val="8"/>
            <color indexed="81"/>
            <rFont val="Arial Narrow"/>
            <family val="2"/>
          </rPr>
          <t>Unidad en Taller : Solo tiene largueros de chasis (Acc. Al 22/11/2002 T.P.C.) INOPERATIVO</t>
        </r>
      </text>
    </comment>
    <comment ref="I20" authorId="1">
      <text>
        <r>
          <rPr>
            <sz val="8"/>
            <color indexed="81"/>
            <rFont val="Arial Narrow"/>
            <family val="2"/>
          </rPr>
          <t>Unidad en Taller : Solo tiene largueros de chasis (Acc. Al 22/11/2002 T.P.C.) INOPERATIVO</t>
        </r>
      </text>
    </comment>
    <comment ref="N21" authorId="0">
      <text>
        <r>
          <rPr>
            <sz val="9"/>
            <color indexed="81"/>
            <rFont val="Arial"/>
            <family val="2"/>
          </rPr>
          <t xml:space="preserve">Usuario: 08238398  - 503278a
cuenta: ma@sutran.gob.pe. </t>
        </r>
      </text>
    </comment>
    <comment ref="Q21" authorId="0">
      <text>
        <r>
          <rPr>
            <sz val="9"/>
            <color indexed="81"/>
            <rFont val="Arial"/>
            <family val="2"/>
          </rPr>
          <t xml:space="preserve">Usuario: 08238398  - 503278a
cuenta: ma@sutran.gob.pe. </t>
        </r>
      </text>
    </comment>
    <comment ref="N22" authorId="0">
      <text>
        <r>
          <rPr>
            <sz val="8"/>
            <color indexed="81"/>
            <rFont val="Tahoma"/>
            <family val="2"/>
          </rPr>
          <t xml:space="preserve">Periodo :  01 al 30  x mes
Pago hasta el 15 c/mes
</t>
        </r>
        <r>
          <rPr>
            <sz val="9"/>
            <color indexed="81"/>
            <rFont val="Tahoma"/>
            <family val="2"/>
          </rPr>
          <t xml:space="preserve">Nº Cilente </t>
        </r>
        <r>
          <rPr>
            <b/>
            <sz val="9"/>
            <color indexed="81"/>
            <rFont val="Tahoma"/>
            <family val="2"/>
          </rPr>
          <t>27581339</t>
        </r>
        <r>
          <rPr>
            <sz val="8"/>
            <color indexed="81"/>
            <rFont val="Tahoma"/>
            <family val="2"/>
          </rPr>
          <t xml:space="preserve">
Pago en BCP, Interbanc, Scotiabank</t>
        </r>
      </text>
    </comment>
    <comment ref="B23" authorId="2">
      <text>
        <r>
          <rPr>
            <sz val="10"/>
            <color indexed="81"/>
            <rFont val="Arial"/>
            <family val="2"/>
          </rPr>
          <t>Unidad vendida a la municipalidad metropolitana de lima al 28/04/2007 JMC</t>
        </r>
      </text>
    </comment>
    <comment ref="C23" authorId="2">
      <text>
        <r>
          <rPr>
            <sz val="10"/>
            <color indexed="81"/>
            <rFont val="Arial"/>
            <family val="2"/>
          </rPr>
          <t>Unidad vendida a la municipalidad metropolitana de lima al 28/04/2007 JMC</t>
        </r>
      </text>
    </comment>
    <comment ref="C24" authorId="1">
      <text>
        <r>
          <rPr>
            <b/>
            <sz val="9"/>
            <color indexed="81"/>
            <rFont val="Tahoma"/>
            <family val="2"/>
          </rPr>
          <t>YG-1461</t>
        </r>
      </text>
    </comment>
    <comment ref="H24" authorId="1">
      <text>
        <r>
          <rPr>
            <sz val="8"/>
            <color indexed="81"/>
            <rFont val="Arial Narrow"/>
            <family val="2"/>
          </rPr>
          <t>Unidad Antigua : fue abandonada en Tc - Av. Argentina1300 al 15/02/2008, mudanza por cambio de local.
REMOLCADOR KENWORTH, AÑO 1960, S/MODELO, CABINA SIMPLE 02 EJES, 06 CILINDROS, MOTOR: 276756, CHASIS: 58646 TARJ.PROP:1R 684477</t>
        </r>
      </text>
    </comment>
    <comment ref="I24" authorId="1">
      <text>
        <r>
          <rPr>
            <sz val="8"/>
            <color indexed="81"/>
            <rFont val="Arial Narrow"/>
            <family val="2"/>
          </rPr>
          <t>Unidad Antigua : fue abandonada en Tc - Av. Argentina1300 al 15/02/2008, mudanza por cambio de local.
REMOLCADOR KENWORTH, AÑO 1960, S/MODELO, CABINA SIMPLE 02 EJES, 06 CILINDROS, MOTOR: 276756, CHASIS: 58646 TARJ.PROP:1R 684477</t>
        </r>
      </text>
    </comment>
    <comment ref="I25" authorId="0">
      <text>
        <r>
          <rPr>
            <sz val="9"/>
            <color indexed="81"/>
            <rFont val="Arial Narrow"/>
            <family val="2"/>
          </rPr>
          <t>Direct Tv - 27581339
Edelnor - 2440774
J_Paz - 193-15953346-0-89
Uxto - Juan 17,21
ORLC - TRANSCOSTA001_tc2000
IQPF - 236561
RCP - cesar_2008 2151525652</t>
        </r>
      </text>
    </comment>
    <comment ref="Q25" authorId="1">
      <text>
        <r>
          <rPr>
            <sz val="10"/>
            <color indexed="81"/>
            <rFont val="Arial Narrow"/>
            <family val="2"/>
          </rPr>
          <t>Usuario : cesar_2008
Key: 021515256529</t>
        </r>
      </text>
    </comment>
    <comment ref="Q26" authorId="1">
      <text>
        <r>
          <rPr>
            <sz val="10"/>
            <color indexed="81"/>
            <rFont val="Arial Narrow"/>
            <family val="2"/>
          </rPr>
          <t>Usuario : cesar_2008
Key: 021515256529</t>
        </r>
      </text>
    </comment>
    <comment ref="Q27" authorId="1">
      <text>
        <r>
          <rPr>
            <sz val="10"/>
            <color indexed="81"/>
            <rFont val="Arial"/>
            <family val="2"/>
          </rPr>
          <t>8243700-7008243-2</t>
        </r>
      </text>
    </comment>
    <comment ref="F28" authorId="1">
      <text>
        <r>
          <rPr>
            <sz val="10"/>
            <color indexed="81"/>
            <rFont val="Tahoma"/>
            <family val="2"/>
          </rPr>
          <t>ZG-9569</t>
        </r>
      </text>
    </comment>
    <comment ref="Q28" authorId="0">
      <text>
        <r>
          <rPr>
            <sz val="8"/>
            <color indexed="81"/>
            <rFont val="Tahoma"/>
            <family val="2"/>
          </rPr>
          <t xml:space="preserve">CPANEL
</t>
        </r>
        <r>
          <rPr>
            <sz val="10"/>
            <color indexed="81"/>
            <rFont val="Tahoma"/>
            <family val="2"/>
          </rPr>
          <t>Usuario :TRANSCOS
Key: tk204922925920</t>
        </r>
      </text>
    </comment>
    <comment ref="C29" authorId="1">
      <text>
        <r>
          <rPr>
            <sz val="10"/>
            <color indexed="81"/>
            <rFont val="Tahoma"/>
            <family val="2"/>
          </rPr>
          <t>ZG-6709</t>
        </r>
        <r>
          <rPr>
            <sz val="9"/>
            <color indexed="81"/>
            <rFont val="Tahoma"/>
            <family val="2"/>
          </rPr>
          <t xml:space="preserve">
</t>
        </r>
      </text>
    </comment>
    <comment ref="E29" authorId="1">
      <text>
        <r>
          <rPr>
            <b/>
            <sz val="9"/>
            <color indexed="81"/>
            <rFont val="Tahoma"/>
            <family val="2"/>
          </rPr>
          <t xml:space="preserve"> </t>
        </r>
        <r>
          <rPr>
            <sz val="9"/>
            <color indexed="81"/>
            <rFont val="Tahoma"/>
            <family val="2"/>
          </rPr>
          <t>Unidad (Cmb 222Tc x 224Tk)</t>
        </r>
      </text>
    </comment>
    <comment ref="F29" authorId="1">
      <text>
        <r>
          <rPr>
            <sz val="10"/>
            <color indexed="81"/>
            <rFont val="Tahoma"/>
            <family val="2"/>
          </rPr>
          <t>ZG-9567</t>
        </r>
      </text>
    </comment>
    <comment ref="J29" authorId="1">
      <text>
        <r>
          <rPr>
            <sz val="10"/>
            <color indexed="81"/>
            <rFont val="Tahoma"/>
            <family val="2"/>
          </rPr>
          <t>ZG-3491</t>
        </r>
      </text>
    </comment>
    <comment ref="D30" authorId="0">
      <text>
        <r>
          <rPr>
            <sz val="9"/>
            <color indexed="81"/>
            <rFont val="Arial Narrow"/>
            <family val="2"/>
          </rPr>
          <t>Unidad vendida a GAVELANO por regularizar al 03/09/13 ICC</t>
        </r>
      </text>
    </comment>
    <comment ref="D31" authorId="1">
      <text>
        <r>
          <rPr>
            <sz val="10"/>
            <color indexed="81"/>
            <rFont val="Tahoma"/>
            <family val="2"/>
          </rPr>
          <t>ZG-</t>
        </r>
        <r>
          <rPr>
            <sz val="9"/>
            <color indexed="81"/>
            <rFont val="Tahoma"/>
            <family val="2"/>
          </rPr>
          <t>6935</t>
        </r>
      </text>
    </comment>
    <comment ref="C32" authorId="1">
      <text>
        <r>
          <rPr>
            <i/>
            <sz val="9"/>
            <color indexed="10"/>
            <rFont val="Tahoma"/>
            <family val="2"/>
          </rPr>
          <t xml:space="preserve">Unidad_TRANSCOSTA </t>
        </r>
        <r>
          <rPr>
            <sz val="9"/>
            <color indexed="81"/>
            <rFont val="Tahoma"/>
            <family val="2"/>
          </rPr>
          <t xml:space="preserve">
</t>
        </r>
      </text>
    </comment>
    <comment ref="E32" authorId="1">
      <text>
        <r>
          <rPr>
            <sz val="10"/>
            <color indexed="81"/>
            <rFont val="Tahoma"/>
            <family val="2"/>
          </rPr>
          <t>ZG-8551</t>
        </r>
      </text>
    </comment>
    <comment ref="K32" authorId="0">
      <text>
        <r>
          <rPr>
            <sz val="8"/>
            <color indexed="81"/>
            <rFont val="Tahoma"/>
            <family val="2"/>
          </rPr>
          <t xml:space="preserve">Servicios Electricos "JUAN CARLOS CAVERO GONZALES" Adelanto al 10/11/2011 S/. 650.00
999-176-518  ( x )
 </t>
        </r>
        <r>
          <rPr>
            <b/>
            <sz val="8"/>
            <color indexed="81"/>
            <rFont val="Tahoma"/>
            <family val="2"/>
          </rPr>
          <t>975-308-706</t>
        </r>
        <r>
          <rPr>
            <sz val="8"/>
            <color indexed="81"/>
            <rFont val="Tahoma"/>
            <family val="2"/>
          </rPr>
          <t xml:space="preserve">
 </t>
        </r>
        <r>
          <rPr>
            <b/>
            <sz val="8"/>
            <color indexed="81"/>
            <rFont val="Tahoma"/>
            <family val="2"/>
          </rPr>
          <t>606*7649</t>
        </r>
        <r>
          <rPr>
            <sz val="8"/>
            <color indexed="81"/>
            <rFont val="Tahoma"/>
            <family val="2"/>
          </rPr>
          <t xml:space="preserve">
</t>
        </r>
      </text>
    </comment>
    <comment ref="D34" authorId="0">
      <text>
        <r>
          <rPr>
            <sz val="9"/>
            <color indexed="81"/>
            <rFont val="Arial Narrow"/>
            <family val="2"/>
          </rPr>
          <t>Unidad vendida a PEDRO CRUZ CUSIPUMA al 07/12/2012 Fact_001-000970 ICC  [</t>
        </r>
        <r>
          <rPr>
            <b/>
            <sz val="9"/>
            <color indexed="10"/>
            <rFont val="Arial Narrow"/>
            <family val="2"/>
          </rPr>
          <t>C3R-987</t>
        </r>
        <r>
          <rPr>
            <sz val="9"/>
            <color indexed="81"/>
            <rFont val="Arial Narrow"/>
            <family val="2"/>
          </rPr>
          <t>]</t>
        </r>
      </text>
    </comment>
    <comment ref="K34" authorId="0">
      <text>
        <r>
          <rPr>
            <sz val="8"/>
            <color indexed="81"/>
            <rFont val="Tahoma"/>
            <family val="2"/>
          </rPr>
          <t xml:space="preserve">Periodo :  01 al 30  x mes
Pago hasta el 15 c/mes
</t>
        </r>
        <r>
          <rPr>
            <sz val="9"/>
            <color indexed="81"/>
            <rFont val="Tahoma"/>
            <family val="2"/>
          </rPr>
          <t xml:space="preserve">Nº Cilente </t>
        </r>
        <r>
          <rPr>
            <b/>
            <sz val="9"/>
            <color indexed="81"/>
            <rFont val="Tahoma"/>
            <family val="2"/>
          </rPr>
          <t>27581339</t>
        </r>
        <r>
          <rPr>
            <sz val="8"/>
            <color indexed="81"/>
            <rFont val="Tahoma"/>
            <family val="2"/>
          </rPr>
          <t xml:space="preserve">
Pago en BCP, Interbanc, Scotiabank</t>
        </r>
      </text>
    </comment>
    <comment ref="F54" authorId="1">
      <text>
        <r>
          <rPr>
            <sz val="9.5"/>
            <color indexed="81"/>
            <rFont val="Arial"/>
            <family val="2"/>
          </rPr>
          <t>Que todos sean uno como tú, Padre, estás en mí y yo en ti. Que ellos también
sean uno en nosotros, para que el mundo crea que tú me has enviado.</t>
        </r>
      </text>
    </comment>
    <comment ref="AB128" authorId="3">
      <text>
        <r>
          <rPr>
            <sz val="8"/>
            <color indexed="81"/>
            <rFont val="Arial Narrow"/>
            <family val="2"/>
          </rPr>
          <t xml:space="preserve">DNI/Lib.Electoral   43981188  al 20/06/2014 11:37hrs
 Apellido Paterno VARGAS Apellido Materno CORDOVA 
  Primer Nombre GUEIBY Segundo Nombre  YULEMA 
  Fecha Nacimiento 26/12/1986 Sexo : Femenino Estado Civil :  
  Lugar Nacimiento Jaen Nacionalidad  Peru 
  Lugar Residencia  Lima - Lima - Breña 
  Origen Afiliado Decreto Ley 19990 Tipo Trabajador Independ. 
 Código de Afiliado 617700GVCGD3 AFP actual  Profuturo 
 Fecha Ingreso Spp 26/10/2005 
  Fecha Defunción   Fec.Proc.Defunción  
  Situación Afiliado Afiliado </t>
        </r>
      </text>
    </comment>
  </commentList>
</comments>
</file>

<file path=xl/comments4.xml><?xml version="1.0" encoding="utf-8"?>
<comments xmlns="http://schemas.openxmlformats.org/spreadsheetml/2006/main">
  <authors>
    <author>Cesar Quispe R.</author>
  </authors>
  <commentList>
    <comment ref="C32" authorId="0">
      <text>
        <r>
          <rPr>
            <sz val="8"/>
            <color indexed="81"/>
            <rFont val="Tahoma"/>
            <family val="2"/>
          </rPr>
          <t>Vta. A  Emp. Transp. E Invers. Gen. M&amp;F SAC - fact001-0013426 (Transcosta 14/01/2012 ICC)</t>
        </r>
      </text>
    </comment>
    <comment ref="D32" authorId="0">
      <text>
        <r>
          <rPr>
            <sz val="8"/>
            <color indexed="81"/>
            <rFont val="Tahoma"/>
            <family val="2"/>
          </rPr>
          <t>Vta. A  Emp. Transp. E Invers. Gen. M&amp;F SAC - fact001-0013426 (Transcosta 14/01/2012 ICC)</t>
        </r>
      </text>
    </comment>
    <comment ref="C35" authorId="0">
      <text>
        <r>
          <rPr>
            <sz val="8"/>
            <color indexed="81"/>
            <rFont val="Tahoma"/>
            <family val="2"/>
          </rPr>
          <t>Inv_Crist Chasis torcd(TC-Vta_Monroy) Ex224</t>
        </r>
      </text>
    </comment>
    <comment ref="D35" authorId="0">
      <text>
        <r>
          <rPr>
            <sz val="8"/>
            <color indexed="81"/>
            <rFont val="Tahoma"/>
            <family val="2"/>
          </rPr>
          <t>Inv_Crist Chasis torcd(TC-Vta_Monroy) Ex224</t>
        </r>
      </text>
    </comment>
  </commentList>
</comments>
</file>

<file path=xl/comments5.xml><?xml version="1.0" encoding="utf-8"?>
<comments xmlns="http://schemas.openxmlformats.org/spreadsheetml/2006/main">
  <authors>
    <author>Cesar Quispe Ramos</author>
  </authors>
  <commentList>
    <comment ref="C26" authorId="0">
      <text>
        <r>
          <rPr>
            <sz val="9"/>
            <color indexed="81"/>
            <rFont val="Tahoma"/>
            <family val="2"/>
          </rPr>
          <t xml:space="preserve">Alquilado a ANATEC para instrucción, contrato firmado al 11/05/10 17:22hrs.CEQR </t>
        </r>
      </text>
    </comment>
    <comment ref="E26" authorId="0">
      <text>
        <r>
          <rPr>
            <sz val="9"/>
            <color indexed="81"/>
            <rFont val="Tahoma"/>
            <family val="2"/>
          </rPr>
          <t xml:space="preserve">Alquilado a ANATEC para instrucción, contrato firmado al 11/05/10 17:22hrs.CEQR </t>
        </r>
      </text>
    </comment>
    <comment ref="C50" authorId="0">
      <text>
        <r>
          <rPr>
            <sz val="9"/>
            <color indexed="81"/>
            <rFont val="Tahoma"/>
            <family val="2"/>
          </rPr>
          <t xml:space="preserve">Alquilado a ANATEC para instrucción, contrato firmado al 11/05/10 17:22hrs.CEQR </t>
        </r>
      </text>
    </comment>
    <comment ref="E50" authorId="0">
      <text>
        <r>
          <rPr>
            <sz val="9"/>
            <color indexed="81"/>
            <rFont val="Tahoma"/>
            <family val="2"/>
          </rPr>
          <t xml:space="preserve">Alquilado a ANATEC para instrucción, contrato firmado al 11/05/10 17:22hrs.CEQR </t>
        </r>
      </text>
    </comment>
  </commentList>
</comments>
</file>

<file path=xl/comments6.xml><?xml version="1.0" encoding="utf-8"?>
<comments xmlns="http://schemas.openxmlformats.org/spreadsheetml/2006/main">
  <authors>
    <author>Cesar Enrique Quispe Ramos</author>
  </authors>
  <commentList>
    <comment ref="B16" authorId="0">
      <text>
        <r>
          <rPr>
            <sz val="8"/>
            <color indexed="81"/>
            <rFont val="MS Sans Serif"/>
            <family val="2"/>
          </rPr>
          <t>Tramites Realizados por Sr. Oswaldo Velasquez Paz Cel.: (043) 957-5776  a Titulo Personal</t>
        </r>
      </text>
    </comment>
    <comment ref="D41" authorId="0">
      <text>
        <r>
          <rPr>
            <sz val="8"/>
            <color indexed="81"/>
            <rFont val="MS Sans Serif"/>
            <family val="2"/>
          </rPr>
          <t xml:space="preserve">Tramites Realizados por Sr. Oswaldo Velasquez Paz Cel.: (043) 957-5776  U.N.T. 429-4810 (Srta. Patricia) </t>
        </r>
      </text>
    </comment>
    <comment ref="D42" authorId="0">
      <text>
        <r>
          <rPr>
            <sz val="8"/>
            <color indexed="81"/>
            <rFont val="MS Sans Serif"/>
            <family val="2"/>
          </rPr>
          <t xml:space="preserve">Tramites Realizados por Sr. Oswaldo Velasquez Paz Cel.: (043) 957-5776  U.N.T. 429-4810 (Srta. Patricia) </t>
        </r>
      </text>
    </comment>
    <comment ref="D43" authorId="0">
      <text>
        <r>
          <rPr>
            <sz val="8"/>
            <color indexed="81"/>
            <rFont val="MS Sans Serif"/>
            <family val="2"/>
          </rPr>
          <t xml:space="preserve">Tramites Realizados por Sr. Oswaldo Velasquez Paz Cel.: (043) 957-5776  U.N.T. 429-4810 (Srta. Patricia) </t>
        </r>
      </text>
    </comment>
    <comment ref="D46" authorId="0">
      <text>
        <r>
          <rPr>
            <sz val="8"/>
            <color indexed="81"/>
            <rFont val="MS Sans Serif"/>
            <family val="2"/>
          </rPr>
          <t xml:space="preserve">Tramites Realizados por Sr. Oswaldo Velasquez Paz Cel.: (043) 957-5776  U.N.T. 429-4810 (Srta. Patricia) </t>
        </r>
      </text>
    </comment>
    <comment ref="D47" authorId="0">
      <text>
        <r>
          <rPr>
            <sz val="8"/>
            <color indexed="81"/>
            <rFont val="MS Sans Serif"/>
            <family val="2"/>
          </rPr>
          <t xml:space="preserve">Tramites Realizados por Sr. Oswaldo Velasquez Paz Cel.: (043) 957-5776  U.N.T. 429-4810 (Srta. Patricia) </t>
        </r>
      </text>
    </comment>
    <comment ref="B49" authorId="0">
      <text>
        <r>
          <rPr>
            <sz val="8"/>
            <color indexed="81"/>
            <rFont val="MS Sans Serif"/>
            <family val="2"/>
          </rPr>
          <t xml:space="preserve">Tramites Realizados por Sr. Oswaldo Velasquez Paz Cel.: (043) 957-5776  U.N.T. 429-4810 (Srta. Patricia) </t>
        </r>
      </text>
    </comment>
  </commentList>
</comments>
</file>

<file path=xl/comments7.xml><?xml version="1.0" encoding="utf-8"?>
<comments xmlns="http://schemas.openxmlformats.org/spreadsheetml/2006/main">
  <authors>
    <author>Cesar Quispe Ramos</author>
  </authors>
  <commentList>
    <comment ref="E35" authorId="0">
      <text>
        <r>
          <rPr>
            <b/>
            <sz val="8"/>
            <color indexed="81"/>
            <rFont val="Tahoma"/>
            <family val="2"/>
          </rPr>
          <t>Pendiente de certificacion por prob de motor que figura en YG-6123</t>
        </r>
      </text>
    </comment>
    <comment ref="E40" authorId="0">
      <text>
        <r>
          <rPr>
            <b/>
            <sz val="8"/>
            <color indexed="81"/>
            <rFont val="Tahoma"/>
            <family val="2"/>
          </rPr>
          <t>Subsanado a esquela de observacion por que motor esta en YG-6127 al 23/07/08</t>
        </r>
        <r>
          <rPr>
            <sz val="8"/>
            <color indexed="81"/>
            <rFont val="Tahoma"/>
            <family val="2"/>
          </rPr>
          <t xml:space="preserve">
</t>
        </r>
      </text>
    </comment>
    <comment ref="E43" authorId="0">
      <text>
        <r>
          <rPr>
            <b/>
            <sz val="8"/>
            <color indexed="81"/>
            <rFont val="Tahoma"/>
            <family val="2"/>
          </rPr>
          <t>Observado por ORLC motor paso al YG-1386 24/07/08.</t>
        </r>
      </text>
    </comment>
    <comment ref="E44" authorId="0">
      <text>
        <r>
          <rPr>
            <b/>
            <sz val="8"/>
            <color indexed="81"/>
            <rFont val="Tahoma"/>
            <family val="2"/>
          </rPr>
          <t>Devuelt ORLC error de registrador 24/07/08</t>
        </r>
      </text>
    </comment>
  </commentList>
</comments>
</file>

<file path=xl/comments8.xml><?xml version="1.0" encoding="utf-8"?>
<comments xmlns="http://schemas.openxmlformats.org/spreadsheetml/2006/main">
  <authors>
    <author>Cesar Quispe Ramos</author>
  </authors>
  <commentList>
    <comment ref="E13" authorId="0">
      <text>
        <r>
          <rPr>
            <b/>
            <sz val="8"/>
            <color indexed="81"/>
            <rFont val="Tahoma"/>
            <family val="2"/>
          </rPr>
          <t>Pendiente de certificacion por prob de motor que figura en YG-6123</t>
        </r>
      </text>
    </comment>
    <comment ref="E19" authorId="0">
      <text>
        <r>
          <rPr>
            <b/>
            <sz val="8"/>
            <color indexed="81"/>
            <rFont val="Tahoma"/>
            <family val="2"/>
          </rPr>
          <t>Subsanado a esquela de observacion por que motor esta en YG-6127 al 23/07/08</t>
        </r>
        <r>
          <rPr>
            <sz val="8"/>
            <color indexed="81"/>
            <rFont val="Tahoma"/>
            <family val="2"/>
          </rPr>
          <t xml:space="preserve">
</t>
        </r>
      </text>
    </comment>
    <comment ref="E23" authorId="0">
      <text>
        <r>
          <rPr>
            <b/>
            <sz val="8"/>
            <color indexed="81"/>
            <rFont val="Tahoma"/>
            <family val="2"/>
          </rPr>
          <t>Observado por ORLC motor paso al YG-1386 24/07/08.</t>
        </r>
      </text>
    </comment>
    <comment ref="E24" authorId="0">
      <text>
        <r>
          <rPr>
            <b/>
            <sz val="8"/>
            <color indexed="81"/>
            <rFont val="Tahoma"/>
            <family val="2"/>
          </rPr>
          <t>Devuelt ORLC error de registrador 24/07/08</t>
        </r>
      </text>
    </comment>
  </commentList>
</comments>
</file>

<file path=xl/sharedStrings.xml><?xml version="1.0" encoding="utf-8"?>
<sst xmlns="http://schemas.openxmlformats.org/spreadsheetml/2006/main" count="18528" uniqueCount="5989">
  <si>
    <r>
      <t xml:space="preserve"> 1 ISIDRO TITO NOA DNI: 09199059  A S/. 193-15953446-0-90 </t>
    </r>
    <r>
      <rPr>
        <b/>
        <sz val="10"/>
        <color indexed="54"/>
        <rFont val="Arial"/>
        <family val="2"/>
      </rPr>
      <t>S/. 490.25</t>
    </r>
    <r>
      <rPr>
        <sz val="10"/>
        <color indexed="54"/>
        <rFont val="Arial"/>
        <family val="2"/>
      </rPr>
      <t xml:space="preserve"> 072001 072011 Sí  </t>
    </r>
  </si>
  <si>
    <t>RED CIENTIFICA PERUANA</t>
  </si>
  <si>
    <t>Total de Dias Acumulado</t>
  </si>
  <si>
    <t> 7350    </t>
  </si>
  <si>
    <t>150913210 / 53039-A</t>
  </si>
  <si>
    <t>Carlos Pillaca Quispe</t>
  </si>
  <si>
    <t>2.58</t>
  </si>
  <si>
    <r>
      <t>IMPRESA Pagado/</t>
    </r>
    <r>
      <rPr>
        <b/>
        <sz val="9"/>
        <color indexed="16"/>
        <rFont val="Arial"/>
        <family val="2"/>
      </rPr>
      <t>FIRMADO</t>
    </r>
  </si>
  <si>
    <t> 8220   </t>
  </si>
  <si>
    <t> 6630   </t>
  </si>
  <si>
    <t> 30000  </t>
  </si>
  <si>
    <t> 7711   </t>
  </si>
  <si>
    <t> 6500   </t>
  </si>
  <si>
    <t>Total Pagado :</t>
  </si>
  <si>
    <t>dias</t>
  </si>
  <si>
    <t> 150203040</t>
  </si>
  <si>
    <t>69 / W924A / 113920</t>
  </si>
  <si>
    <t>2008-448064</t>
  </si>
  <si>
    <t>02675140</t>
  </si>
  <si>
    <t>S/ 482.00= adelanto S/ 200.00 a cta 193-0652795087</t>
  </si>
  <si>
    <t>TPC - RANSA ARGENTINA</t>
  </si>
  <si>
    <t>115999-3970784</t>
  </si>
  <si>
    <t>Personal Eventual (Recibo x Honorarios)</t>
  </si>
  <si>
    <t>Contador General</t>
  </si>
  <si>
    <t>Hilda</t>
  </si>
  <si>
    <t>Walter Vallejos S.</t>
  </si>
  <si>
    <t>TEJADA LLAUCE MIGUEL</t>
  </si>
  <si>
    <t>DNI</t>
  </si>
  <si>
    <t>Consultorio</t>
  </si>
  <si>
    <t>7.86</t>
  </si>
  <si>
    <t>3.30</t>
  </si>
  <si>
    <t>Supervisor Comercial Industrias</t>
  </si>
  <si>
    <t>SUNAT</t>
  </si>
  <si>
    <t>G.E.</t>
  </si>
  <si>
    <t>Unidades para Cambio de Motor en la Tarjeta de propiedad</t>
  </si>
  <si>
    <t>02/07/2013</t>
  </si>
  <si>
    <t>TPC – ARIS INDUSTRIAL</t>
  </si>
  <si>
    <t>543094-3871</t>
  </si>
  <si>
    <r>
      <t>Memorandum - Sem 17/2013</t>
    </r>
    <r>
      <rPr>
        <b/>
        <sz val="12"/>
        <rFont val="Courier Final Draft"/>
        <family val="3"/>
      </rPr>
      <t xml:space="preserve">   </t>
    </r>
    <r>
      <rPr>
        <sz val="12"/>
        <rFont val="Courier Final Draft"/>
        <family val="3"/>
      </rPr>
      <t xml:space="preserve">-   </t>
    </r>
    <r>
      <rPr>
        <sz val="10"/>
        <rFont val="Courier Final Draft"/>
        <family val="3"/>
      </rPr>
      <t>Fecha: 30/04/13</t>
    </r>
  </si>
  <si>
    <t>Ene</t>
  </si>
  <si>
    <t>10208432</t>
  </si>
  <si>
    <t>Alejandro</t>
  </si>
  <si>
    <t>Montañez</t>
  </si>
  <si>
    <t>OP23</t>
  </si>
  <si>
    <t> 61</t>
  </si>
  <si>
    <t> YG6130</t>
  </si>
  <si>
    <t>MIGLIORE ROSSI MOISES JORGE AU</t>
  </si>
  <si>
    <t>SRV-40-3-011</t>
  </si>
  <si>
    <t>Maribel Quispe Herrera</t>
  </si>
  <si>
    <t>M.Q.H.</t>
  </si>
  <si>
    <t>Shirley</t>
  </si>
  <si>
    <t>LIMA CAUCHO S.A.</t>
  </si>
  <si>
    <t>1 BMW 530i Limousine</t>
  </si>
  <si>
    <t>REMCASA</t>
  </si>
  <si>
    <t>6147-2225</t>
  </si>
  <si>
    <t>6148-2226</t>
  </si>
  <si>
    <t>0D18</t>
  </si>
  <si>
    <t>ZG-6761</t>
  </si>
  <si>
    <t>ZG-6709</t>
  </si>
  <si>
    <t>Camion Tracto Remolcador</t>
  </si>
  <si>
    <t>Grifero</t>
  </si>
  <si>
    <t>Ventanilla -Pachacutec</t>
  </si>
  <si>
    <t>SRV-40-3-038</t>
  </si>
  <si>
    <t>E/S CASTAÑOS</t>
  </si>
  <si>
    <t>Av. Javier Prado Oeste 1895</t>
  </si>
  <si>
    <t>Tolvas</t>
  </si>
  <si>
    <t>3040000-1720459</t>
  </si>
  <si>
    <t>Total 0D40   Jorge Huamani N.</t>
  </si>
  <si>
    <t>Total 0D50   Armando Junco V.</t>
  </si>
  <si>
    <t>Total 0D69   Zacarias Felix H.</t>
  </si>
  <si>
    <t>Aux. Administ</t>
  </si>
  <si>
    <t>J. Castañeda</t>
  </si>
  <si>
    <t>OP28</t>
  </si>
  <si>
    <t>Solicite su Clave de Seguridad - INTEGRA</t>
  </si>
  <si>
    <t>lcenteno@softwarebusiness.com.pe</t>
  </si>
  <si>
    <t>osvelpaz@yahoo.es</t>
  </si>
  <si>
    <t>oswaldo velasquez paz</t>
  </si>
  <si>
    <t>o.v.p.</t>
  </si>
  <si>
    <t>Hub Dlink 08 ptos.</t>
  </si>
  <si>
    <t>002134</t>
  </si>
  <si>
    <t>Patricia.DelPino@latam.shell.com</t>
  </si>
  <si>
    <t>Fecha de presentacion al MTC</t>
  </si>
  <si>
    <t>150913203 / 53032-A</t>
  </si>
  <si>
    <t>01 equipo de soldadura autogena, 01equipo de soldadura electrica, anaquel y mesa de trabajo, herramientas a cargo.</t>
  </si>
  <si>
    <t>R-162</t>
  </si>
  <si>
    <t>R-159</t>
  </si>
  <si>
    <t>009904</t>
  </si>
  <si>
    <t>TR-24438</t>
  </si>
  <si>
    <t>K060435</t>
  </si>
  <si>
    <t>K040425</t>
  </si>
  <si>
    <t xml:space="preserve"> # ANTIGUO (ver el moderno)</t>
  </si>
  <si>
    <t>Codigo</t>
  </si>
  <si>
    <t>193-15953323-0-66 C.Q.R.</t>
  </si>
  <si>
    <t>Superv Mtto y Sist</t>
  </si>
  <si>
    <t> 150912478</t>
  </si>
  <si>
    <t>Jefatura de Operaciones</t>
  </si>
  <si>
    <t xml:space="preserve">TPC - SAN AGUSTIN  </t>
  </si>
  <si>
    <t>TPC- SAN AGUSTIN</t>
  </si>
  <si>
    <t>TPC -RANSA ARGENTINA</t>
  </si>
  <si>
    <t>Total   1D87 Rlio Ramos Huaroc</t>
  </si>
  <si>
    <t>Marcelo Ortiz F.</t>
  </si>
  <si>
    <t>Juan C Asmat S.</t>
  </si>
  <si>
    <t>09454965</t>
  </si>
  <si>
    <t>M.Migliore / J.Sencia</t>
  </si>
  <si>
    <t>S.Tapia</t>
  </si>
  <si>
    <t>J.Linares</t>
  </si>
  <si>
    <t>ASISTENTE CONTABLE</t>
  </si>
  <si>
    <t>Quiñones</t>
  </si>
  <si>
    <t>pdiezq@bcp.com.pe</t>
  </si>
  <si>
    <t>D5M-004</t>
  </si>
  <si>
    <t>1 BMW 535i Negro Zafiro</t>
  </si>
  <si>
    <t>Vigencia del Certificado</t>
  </si>
  <si>
    <t>Fritz Huaman</t>
  </si>
  <si>
    <t xml:space="preserve"> 08 Fotografias de estudio tamaño pasaporte(lurin)</t>
  </si>
  <si>
    <t>de Rodaje</t>
  </si>
  <si>
    <t xml:space="preserve"> 6300600 -62049 </t>
  </si>
  <si>
    <t>Early Imaño</t>
  </si>
  <si>
    <t>Fech_Pago</t>
  </si>
  <si>
    <t> 101119</t>
  </si>
  <si>
    <t> 37</t>
  </si>
  <si>
    <t> YG1378</t>
  </si>
  <si>
    <t xml:space="preserve">  Unidad</t>
  </si>
  <si>
    <t>Dias xVenc</t>
  </si>
  <si>
    <t>Año de Fabric</t>
  </si>
  <si>
    <t>102  YG-1386</t>
  </si>
  <si>
    <t>103  YG-1387</t>
  </si>
  <si>
    <t>104  YG-1383</t>
  </si>
  <si>
    <t>107  YG-1368</t>
  </si>
  <si>
    <t>110  YG-1263</t>
  </si>
  <si>
    <t>YG-6407</t>
  </si>
  <si>
    <t>YG-6126</t>
  </si>
  <si>
    <t>YG-6133</t>
  </si>
  <si>
    <t>YG-6124</t>
  </si>
  <si>
    <t>cesarq_98@hotmail.com</t>
  </si>
  <si>
    <t>CesarQ-HOTMAIL</t>
  </si>
  <si>
    <t>Jose Castañeda</t>
  </si>
  <si>
    <t>Propio/Arrend. Financ/Arrend. Operat.</t>
  </si>
  <si>
    <t xml:space="preserve">  1D87</t>
  </si>
  <si>
    <t>MIXERCON</t>
  </si>
  <si>
    <t>Villaran</t>
  </si>
  <si>
    <t>Características: Acabado mate. Lavable. Protección UV , Contenido: 20 l, Contenido: 5 gl</t>
  </si>
  <si>
    <t>S/. 120.00 *</t>
  </si>
  <si>
    <t>Nicolas Briceño</t>
  </si>
  <si>
    <t>971551435</t>
  </si>
  <si>
    <t>Guillermo Paredes</t>
  </si>
  <si>
    <t>942027425</t>
  </si>
  <si>
    <t>Isidro Tito</t>
  </si>
  <si>
    <t>971532614</t>
  </si>
  <si>
    <t>942009102</t>
  </si>
  <si>
    <t>José Paz</t>
  </si>
  <si>
    <t>971532656</t>
  </si>
  <si>
    <t>941983586</t>
  </si>
  <si>
    <t>Ramiro Baquerizo</t>
  </si>
  <si>
    <t>971532467</t>
  </si>
  <si>
    <t>Marcelo Ortiz</t>
  </si>
  <si>
    <t>941957080</t>
  </si>
  <si>
    <t>Adminstracion y Contabilidad</t>
  </si>
  <si>
    <t>6404980-4654475</t>
  </si>
  <si>
    <t>Der.</t>
  </si>
  <si>
    <t>Total D-2</t>
  </si>
  <si>
    <t>Encargados</t>
  </si>
  <si>
    <t>M.A.G. // R.C.G</t>
  </si>
  <si>
    <t>J.C.E. // R.C.G</t>
  </si>
  <si>
    <t>Ccorimanya</t>
  </si>
  <si>
    <t>01 Prensa hidraul Grande presion 50Tns. 01gata hidr p´ 20tns.</t>
  </si>
  <si>
    <r>
      <t xml:space="preserve">216  </t>
    </r>
    <r>
      <rPr>
        <sz val="9"/>
        <color indexed="12"/>
        <rFont val="Arial"/>
        <family val="2"/>
      </rPr>
      <t>B1G-985</t>
    </r>
  </si>
  <si>
    <t>6162-2233</t>
  </si>
  <si>
    <t>1D25</t>
  </si>
  <si>
    <t>ventas@renova.com.pe</t>
  </si>
  <si>
    <t>RENOVA - Saul Alzamora Y. (ventas@renova.com.pe)</t>
  </si>
  <si>
    <t> 150203080</t>
  </si>
  <si>
    <t>150911622 / 51750-A</t>
  </si>
  <si>
    <t>- SLPERU</t>
  </si>
  <si>
    <t>Pinasco</t>
  </si>
  <si>
    <t>Medida</t>
  </si>
  <si>
    <t>x 216  B1G985</t>
  </si>
  <si>
    <t>Hernandez</t>
  </si>
  <si>
    <t> Semi Remolque</t>
  </si>
  <si>
    <t>61385-5603</t>
  </si>
  <si>
    <t>61386-5604</t>
  </si>
  <si>
    <t>61389-5605</t>
  </si>
  <si>
    <t>61391-5607</t>
  </si>
  <si>
    <t>61393-5609</t>
  </si>
  <si>
    <t>61394-5610</t>
  </si>
  <si>
    <t>61395-5611</t>
  </si>
  <si>
    <t>61625-5826</t>
  </si>
  <si>
    <t>61363-5598</t>
  </si>
  <si>
    <t xml:space="preserve">ToLva </t>
  </si>
  <si>
    <t>Toyota Caldina - Trabajo de Pintura 01 Baño General   [Jeperson Carihuazayro Yucra]</t>
  </si>
  <si>
    <t>58469-5473</t>
  </si>
  <si>
    <t>58379-5429</t>
  </si>
  <si>
    <t>58420-5448</t>
  </si>
  <si>
    <t> 3366870</t>
  </si>
  <si>
    <t>Silvia Tapia Solis</t>
  </si>
  <si>
    <t>Hyundai SANTA FE</t>
  </si>
  <si>
    <t>Luza</t>
  </si>
  <si>
    <t>Galvez</t>
  </si>
  <si>
    <t>Claudio</t>
  </si>
  <si>
    <t>Huaroc</t>
  </si>
  <si>
    <t>Zacarias</t>
  </si>
  <si>
    <t>Reyes</t>
  </si>
  <si>
    <t>TC09</t>
  </si>
  <si>
    <t>Promedio por dia (360)</t>
  </si>
  <si>
    <t>Frec. Emision</t>
  </si>
  <si>
    <t>09017700</t>
  </si>
  <si>
    <t>Ok</t>
  </si>
  <si>
    <t>Remolcador</t>
  </si>
  <si>
    <t>Patricia.Farias@latam.shell.com</t>
  </si>
  <si>
    <t xml:space="preserve"> 4732 4403 0000 7478</t>
  </si>
  <si>
    <t xml:space="preserve"> SOLES</t>
  </si>
  <si>
    <r>
      <t xml:space="preserve">pendiente </t>
    </r>
    <r>
      <rPr>
        <sz val="12"/>
        <rFont val="Arial"/>
        <family val="2"/>
      </rPr>
      <t>SIN IMPRIMIR</t>
    </r>
  </si>
  <si>
    <t> ZG6829</t>
  </si>
  <si>
    <t>Unidades para obtener CERTIFICADO DE CONFORMIDAD ( UNI )</t>
  </si>
  <si>
    <t>por Unidad</t>
  </si>
  <si>
    <t> 150203057</t>
  </si>
  <si>
    <t> 82</t>
  </si>
  <si>
    <t> 25</t>
  </si>
  <si>
    <t>maria León Callirgos</t>
  </si>
  <si>
    <t>Av. Industrial 3598 Urb. Ind. Pan. Norte Independencia - Lima - Peru</t>
  </si>
  <si>
    <t>72 / W-924 / 123934</t>
  </si>
  <si>
    <t>GARCIA CANTORAL JUAN CARLOS</t>
  </si>
  <si>
    <t>AUXILIAR DE OPERACIONES</t>
  </si>
  <si>
    <t>CUMPLEAÑOS</t>
  </si>
  <si>
    <t>429 *7074</t>
  </si>
  <si>
    <t>jdance@pecsa.com.pe</t>
  </si>
  <si>
    <r>
      <t xml:space="preserve">170  </t>
    </r>
    <r>
      <rPr>
        <sz val="8"/>
        <color indexed="54"/>
        <rFont val="Arial"/>
        <family val="2"/>
      </rPr>
      <t>YG-6034</t>
    </r>
  </si>
  <si>
    <r>
      <t xml:space="preserve">164  </t>
    </r>
    <r>
      <rPr>
        <sz val="8"/>
        <color indexed="54"/>
        <rFont val="Arial"/>
        <family val="2"/>
      </rPr>
      <t>YG-6161</t>
    </r>
  </si>
  <si>
    <t>Fredy Ortiz P.</t>
  </si>
  <si>
    <t>Eufemio Lucana C. (-01V 12.00)</t>
  </si>
  <si>
    <t> YG6159</t>
  </si>
  <si>
    <t> 150203011</t>
  </si>
  <si>
    <t>PECSA - Andres Santivanez</t>
  </si>
  <si>
    <t>ahora de 1 kg de tela  le sale mas o menos  4,5 polos manga corta .</t>
  </si>
  <si>
    <t>Llamocca</t>
  </si>
  <si>
    <t>Manrrique</t>
  </si>
  <si>
    <t>Fernandez</t>
  </si>
  <si>
    <t>Granda</t>
  </si>
  <si>
    <t>Saavedra</t>
  </si>
  <si>
    <t>0243516-4004593</t>
  </si>
  <si>
    <t>116379-3083</t>
  </si>
  <si>
    <t>116380-3084</t>
  </si>
  <si>
    <t>116381-3085</t>
  </si>
  <si>
    <t>Vigencia de poderes (3M ant)</t>
  </si>
  <si>
    <t>Certificado de conformidad</t>
  </si>
  <si>
    <t>DNI de Representatnte</t>
  </si>
  <si>
    <t>1 TOYOTA Corolla Gris</t>
  </si>
  <si>
    <t>A3C-434</t>
  </si>
  <si>
    <t>Av. Guardia Civil 333</t>
  </si>
  <si>
    <t>ZG-3004</t>
  </si>
  <si>
    <t>Ilida Cruz Coronel   [ 990-684774 Sn.Isd.]</t>
  </si>
  <si>
    <t>40756049</t>
  </si>
  <si>
    <t>6667029-9193467</t>
  </si>
  <si>
    <t>59009-5496</t>
  </si>
  <si>
    <t>59021-5504</t>
  </si>
  <si>
    <t>59003-5492</t>
  </si>
  <si>
    <t>Freundt</t>
  </si>
  <si>
    <t>Zanaroli</t>
  </si>
  <si>
    <t>Federico</t>
  </si>
  <si>
    <t>Samanez</t>
  </si>
  <si>
    <t>Ocrospoma</t>
  </si>
  <si>
    <t>Se dio parte a PACIFICO SEGUROS</t>
  </si>
  <si>
    <t>6236-2278</t>
  </si>
  <si>
    <t>6239-2279</t>
  </si>
  <si>
    <t>S/. x Viaje</t>
  </si>
  <si>
    <t>Total 0D18</t>
  </si>
  <si>
    <t>Apoderada de Cuentas Corporativas</t>
  </si>
  <si>
    <t>Enrique Quispe</t>
  </si>
  <si>
    <t>cesarq@viabcp.com</t>
  </si>
  <si>
    <t>Cesar Enrique Quispe Ramos</t>
  </si>
  <si>
    <t>1018944-4275550</t>
  </si>
  <si>
    <t> ZG7860</t>
  </si>
  <si>
    <t> 29500   </t>
  </si>
  <si>
    <t>000428</t>
  </si>
  <si>
    <t>Pago S/.</t>
  </si>
  <si>
    <t>2008-448063</t>
  </si>
  <si>
    <t>8.01</t>
  </si>
  <si>
    <t>06 dias tramitador (JPN)</t>
  </si>
  <si>
    <t>Tramites a Realizados por Jorge Pacotaype Nuñez</t>
  </si>
  <si>
    <t>daniel.donayre@scc.com.pe</t>
  </si>
  <si>
    <t>ZG-9569</t>
  </si>
  <si>
    <t>ZG-9567</t>
  </si>
  <si>
    <t>ZI-1275</t>
  </si>
  <si>
    <t>ZG-8551</t>
  </si>
  <si>
    <t> 150203012</t>
  </si>
  <si>
    <t> 123935</t>
  </si>
  <si>
    <t> 68</t>
  </si>
  <si>
    <t>Total 1D36   William Soto T.</t>
  </si>
  <si>
    <t>Pulidor fino  3M</t>
  </si>
  <si>
    <t>Venc SOAT</t>
  </si>
  <si>
    <t>Mv-02</t>
  </si>
  <si>
    <t>1D47</t>
  </si>
  <si>
    <t>TR-22350</t>
  </si>
  <si>
    <t>PENDIENTE :  Conversion de unidades de 03 a 02 ejes (Tolvas)</t>
  </si>
  <si>
    <t>F-100</t>
  </si>
  <si>
    <t>7AT1JGU24345</t>
  </si>
  <si>
    <t>Datsun Crema</t>
  </si>
  <si>
    <t>Automovil</t>
  </si>
  <si>
    <t>09093406</t>
  </si>
  <si>
    <t>PINTOR AUTOMOTRIZ</t>
  </si>
  <si>
    <t> 59</t>
  </si>
  <si>
    <t> YG6128</t>
  </si>
  <si>
    <t> 150203004</t>
  </si>
  <si>
    <t> 113914</t>
  </si>
  <si>
    <t>Pago por derechos S/122.50= BN cod: 05843 (tasa)</t>
  </si>
  <si>
    <t>Tramite automatico, inmediato</t>
  </si>
  <si>
    <t>343  C9T-990</t>
  </si>
  <si>
    <t>P.E.E.G.P.</t>
  </si>
  <si>
    <r>
      <t>Memorandum - Sem 26/2012</t>
    </r>
    <r>
      <rPr>
        <b/>
        <sz val="12"/>
        <rFont val="Arial"/>
        <family val="2"/>
      </rPr>
      <t xml:space="preserve">   </t>
    </r>
    <r>
      <rPr>
        <sz val="12"/>
        <rFont val="Arial"/>
        <family val="2"/>
      </rPr>
      <t xml:space="preserve">-   </t>
    </r>
    <r>
      <rPr>
        <sz val="10"/>
        <rFont val="Arial"/>
        <family val="2"/>
      </rPr>
      <t>Fecha: 03/07/12</t>
    </r>
  </si>
  <si>
    <t>Total 1D64</t>
  </si>
  <si>
    <t>Total 1D63</t>
  </si>
  <si>
    <t>Total 1D61</t>
  </si>
  <si>
    <t>Total 0P75</t>
  </si>
  <si>
    <t>0243802-3196631</t>
  </si>
  <si>
    <t>6662952-2706280</t>
  </si>
  <si>
    <t>Tolva Granelero</t>
  </si>
  <si>
    <t>Nro. De dias de descanso</t>
  </si>
  <si>
    <r>
      <t xml:space="preserve">  Factura del proveedor 00000001-005833    </t>
    </r>
    <r>
      <rPr>
        <b/>
        <sz val="10"/>
        <rFont val="Arial"/>
        <family val="2"/>
      </rPr>
      <t xml:space="preserve">S/. 465.86    </t>
    </r>
  </si>
  <si>
    <t>Hasta</t>
  </si>
  <si>
    <t>Ingresos</t>
  </si>
  <si>
    <t>Descuentos</t>
  </si>
  <si>
    <t>Neto</t>
  </si>
  <si>
    <t xml:space="preserve"> # Dias</t>
  </si>
  <si>
    <t>para el lunes 10-08-15 Max</t>
  </si>
  <si>
    <t>Costo Mensual</t>
  </si>
  <si>
    <t>Plazo de Instalacion</t>
  </si>
  <si>
    <t>LINEA NAC</t>
  </si>
  <si>
    <t>Cargo x Instalacion</t>
  </si>
  <si>
    <t>E/S ESCOSA</t>
  </si>
  <si>
    <t>A.C.</t>
  </si>
  <si>
    <t>Ok?? 31/07/08</t>
  </si>
  <si>
    <t>7.87 + .13</t>
  </si>
  <si>
    <t xml:space="preserve">  3ra.</t>
  </si>
  <si>
    <t xml:space="preserve">  4ta.</t>
  </si>
  <si>
    <t>Cronograma de Pagos</t>
  </si>
  <si>
    <t>jezc2000@yahoo.es</t>
  </si>
  <si>
    <t>Setiembre</t>
  </si>
  <si>
    <t>B</t>
  </si>
  <si>
    <t>b</t>
  </si>
  <si>
    <t>m</t>
  </si>
  <si>
    <t>n</t>
  </si>
  <si>
    <t>OP11</t>
  </si>
  <si>
    <t>OP12</t>
  </si>
  <si>
    <t>OP13</t>
  </si>
  <si>
    <t>OP14</t>
  </si>
  <si>
    <t>OP15</t>
  </si>
  <si>
    <t xml:space="preserve"> Lidercon Telefono</t>
  </si>
  <si>
    <t>Asmat</t>
  </si>
  <si>
    <t>Centeno</t>
  </si>
  <si>
    <t>Mariano</t>
  </si>
  <si>
    <t>Der</t>
  </si>
  <si>
    <t xml:space="preserve"> Fotocopias de DNI y cartas (Llerena y Lazo) (lurin)</t>
  </si>
  <si>
    <r>
      <t>R</t>
    </r>
    <r>
      <rPr>
        <sz val="10"/>
        <rFont val="Arial"/>
        <family val="2"/>
      </rPr>
      <t xml:space="preserve">ufino </t>
    </r>
    <r>
      <rPr>
        <sz val="10"/>
        <color indexed="10"/>
        <rFont val="Arial"/>
        <family val="2"/>
      </rPr>
      <t>C</t>
    </r>
    <r>
      <rPr>
        <sz val="10"/>
        <rFont val="Arial"/>
        <family val="2"/>
      </rPr>
      <t xml:space="preserve">andia </t>
    </r>
    <r>
      <rPr>
        <sz val="10"/>
        <color indexed="10"/>
        <rFont val="Arial"/>
        <family val="2"/>
      </rPr>
      <t>G</t>
    </r>
    <r>
      <rPr>
        <sz val="10"/>
        <rFont val="Arial"/>
        <family val="2"/>
      </rPr>
      <t>uillen</t>
    </r>
  </si>
  <si>
    <t>M.B.E.</t>
  </si>
  <si>
    <t>Yasuda</t>
  </si>
  <si>
    <t>azul2008@hotmail.com</t>
  </si>
  <si>
    <t>Jorge Yasuda</t>
  </si>
  <si>
    <t>Puerto SMTP: 465</t>
  </si>
  <si>
    <t>Lidia Zevallos</t>
  </si>
  <si>
    <t>01 compresora pequeña, 01Sold Autogena</t>
  </si>
  <si>
    <t>Rodriguez</t>
  </si>
  <si>
    <t> YG6035</t>
  </si>
  <si>
    <t>PECSA Tr - Jorge Dance (jdance@pecsa.com.pe)</t>
  </si>
  <si>
    <t>P.T.J.J.D.</t>
  </si>
  <si>
    <t>Ok 11/12</t>
  </si>
  <si>
    <t>Meseguer</t>
  </si>
  <si>
    <t>Movistar 29-04-15 16:25</t>
  </si>
  <si>
    <t xml:space="preserve">Inicio : </t>
  </si>
  <si>
    <t>para el Lunes 04-05-15</t>
  </si>
  <si>
    <t>Neon Bobbio A.</t>
  </si>
  <si>
    <r>
      <t xml:space="preserve">El número asignado a su Solicitud de Clave de Seguridad es </t>
    </r>
    <r>
      <rPr>
        <b/>
        <sz val="8"/>
        <color indexed="23"/>
        <rFont val="Verdana"/>
        <family val="2"/>
      </rPr>
      <t xml:space="preserve">9010891 </t>
    </r>
  </si>
  <si>
    <t>3.27**</t>
  </si>
  <si>
    <t>Categoria</t>
  </si>
  <si>
    <t>Certif nº</t>
  </si>
  <si>
    <t>paty_puntos@hotmail.com</t>
  </si>
  <si>
    <t>116386-3088</t>
  </si>
  <si>
    <t>116387-3089</t>
  </si>
  <si>
    <t>11573353</t>
  </si>
  <si>
    <t>10716831</t>
  </si>
  <si>
    <t>S/. 380.00=</t>
  </si>
  <si>
    <r>
      <t xml:space="preserve">Vehiculos Menores </t>
    </r>
    <r>
      <rPr>
        <sz val="10"/>
        <color indexed="54"/>
        <rFont val="Arial"/>
        <family val="2"/>
      </rPr>
      <t>(Autos y Cmtas.)</t>
    </r>
  </si>
  <si>
    <t>Pintado de Capot Interior/exterior</t>
  </si>
  <si>
    <t>rvertiz@viabcp.com</t>
  </si>
  <si>
    <t>Jorge Luis</t>
  </si>
  <si>
    <t>malaga_jorge@hotmail.com</t>
  </si>
  <si>
    <t>Venegas</t>
  </si>
  <si>
    <t>Planchar y cuadrar refuerzo de parachoque posterior</t>
  </si>
  <si>
    <r>
      <t xml:space="preserve">Haberes  000566  C  S/.  191-0873085-0-39 - TRANSCOSTA S.A.  -  -  -  varios  S-38  </t>
    </r>
    <r>
      <rPr>
        <b/>
        <sz val="10"/>
        <color indexed="54"/>
        <rFont val="Arial"/>
        <family val="2"/>
      </rPr>
      <t>S/.  1,514.04</t>
    </r>
    <r>
      <rPr>
        <sz val="10"/>
        <color indexed="54"/>
        <rFont val="Arial"/>
        <family val="2"/>
      </rPr>
      <t xml:space="preserve">  23/09/2011  Pendiente de firma  NICOLAS CRICEÑO HERRERA  23/09/2011   </t>
    </r>
  </si>
  <si>
    <t>Eddy Huaraqui</t>
  </si>
  <si>
    <t>E.H.</t>
  </si>
  <si>
    <t>Segura Durand</t>
  </si>
  <si>
    <t>Eduardo Teodoro</t>
  </si>
  <si>
    <t> YG6036</t>
  </si>
  <si>
    <t> 150202998</t>
  </si>
  <si>
    <t> YG1360</t>
  </si>
  <si>
    <t> 150402528</t>
  </si>
  <si>
    <t> 104459</t>
  </si>
  <si>
    <t> 33</t>
  </si>
  <si>
    <t> YG1362</t>
  </si>
  <si>
    <t>RENOVA S.A.C.</t>
  </si>
  <si>
    <t>YI-7364 Unidad International (nuevo) de SUPERFISH</t>
  </si>
  <si>
    <t>44841001  8709170DARIC001  CAP III SAN ISI  DURAND RAMIREZ DE PILLACA CARMEN ROSA</t>
  </si>
  <si>
    <t>44841001</t>
  </si>
  <si>
    <t>Repsol Pampilla</t>
  </si>
  <si>
    <t>R.P.</t>
  </si>
  <si>
    <t>Raul</t>
  </si>
  <si>
    <t>Lanfranco</t>
  </si>
  <si>
    <t>rlanfranco@PERSYSTEMS.com</t>
  </si>
  <si>
    <t>Raul Lanfranco</t>
  </si>
  <si>
    <t>R.L.</t>
  </si>
  <si>
    <t>Chorrillos</t>
  </si>
  <si>
    <t>E/S HUAYLAS</t>
  </si>
  <si>
    <t xml:space="preserve">Av. Huaylas 600 </t>
  </si>
  <si>
    <t>pilar_love31@hotmail.com</t>
  </si>
  <si>
    <t>love_ar_23@hotmail.com</t>
  </si>
  <si>
    <t>7348-8663</t>
  </si>
  <si>
    <t>1D91</t>
  </si>
  <si>
    <t>1D86</t>
  </si>
  <si>
    <t>7111-8621</t>
  </si>
  <si>
    <t>7120-8622</t>
  </si>
  <si>
    <t>7123-8623</t>
  </si>
  <si>
    <t>7124-8624</t>
  </si>
  <si>
    <t>7127-8625</t>
  </si>
  <si>
    <t>1D90</t>
  </si>
  <si>
    <t>7128-8626</t>
  </si>
  <si>
    <t>1D70</t>
  </si>
  <si>
    <t>7129-8627</t>
  </si>
  <si>
    <t>083172-2299428</t>
  </si>
  <si>
    <t>120714-2332942</t>
  </si>
  <si>
    <t>TPC - RANSA SAN AGUSTIN</t>
  </si>
  <si>
    <t>126573-1499514</t>
  </si>
  <si>
    <t>HARO SOPLA EDU ROBERTIÑO</t>
  </si>
  <si>
    <t>70515559</t>
  </si>
  <si>
    <t> 150203060</t>
  </si>
  <si>
    <t> SRV-40-3-125</t>
  </si>
  <si>
    <t> 9</t>
  </si>
  <si>
    <t xml:space="preserve"> A N E X O   0 1</t>
  </si>
  <si>
    <t>42620194</t>
  </si>
  <si>
    <t>Huaman Ilasaca</t>
  </si>
  <si>
    <t>GARCIA DONAYRE ENRIQUE ADOLFO</t>
  </si>
  <si>
    <t>80590552</t>
  </si>
  <si>
    <t>TAMARA CHAMORRO FRED BENJAMIN</t>
  </si>
  <si>
    <t>MARIA SUSANA SOFIA ANGELES GARAYAR</t>
  </si>
  <si>
    <t>M.S.S.A.G.</t>
  </si>
  <si>
    <t>Lija para agua # 2000  3M</t>
  </si>
  <si>
    <t> 1XKED29X6FJ364257</t>
  </si>
  <si>
    <t>Montoya</t>
  </si>
  <si>
    <t>Total 1P21</t>
  </si>
  <si>
    <t>Total 1P22</t>
  </si>
  <si>
    <t>Miguel Tejada</t>
  </si>
  <si>
    <t>Jorge Huamani</t>
  </si>
  <si>
    <t xml:space="preserve">Mariano Asmat </t>
  </si>
  <si>
    <t>Zacarias Felix</t>
  </si>
  <si>
    <t>Eufemio Lucana</t>
  </si>
  <si>
    <t>INTERCAMBIO DE UNIDADES PARA INSPECCION (28/12/2009)</t>
  </si>
  <si>
    <t>Revision Tecnica 2009</t>
  </si>
  <si>
    <t>Gerente</t>
  </si>
  <si>
    <t>Av. Arequipa # 330 Of. 805 Piso 8; 901-902 Piso 9</t>
  </si>
  <si>
    <t>Dante Vega- PECSA</t>
  </si>
  <si>
    <t>990298880</t>
  </si>
  <si>
    <t>de la carreta impacta al remolcador de SUPERFISH lado izquierdo,</t>
  </si>
  <si>
    <t>que se encontraba detenido</t>
  </si>
  <si>
    <t xml:space="preserve"> 2 SAMUEL ELIAS ARANGOITIA PAYHUA DNI: 06174371  A S/. 191-19770903-0-08 S/. 654.00 072011 072011 Sí  </t>
  </si>
  <si>
    <t> 150203006</t>
  </si>
  <si>
    <t>Noelia Olazabal Mondragon</t>
  </si>
  <si>
    <t>Octavio Juarez Poma</t>
  </si>
  <si>
    <t>Julio Z. Cardenas Saldaña</t>
  </si>
  <si>
    <t xml:space="preserve">  365 / 12</t>
  </si>
  <si>
    <t>RODRIGUEZ MESIAS ANTONIO</t>
  </si>
  <si>
    <t>Tolva</t>
  </si>
  <si>
    <t>Tramites x 20 tarjets ORLC ---&gt;</t>
  </si>
  <si>
    <t>CABRERA LUZA LUIS</t>
  </si>
  <si>
    <t> ZG6709</t>
  </si>
  <si>
    <t>SRV-RYC-T45</t>
  </si>
  <si>
    <t>Entreg.</t>
  </si>
  <si>
    <t>996-482-820</t>
  </si>
  <si>
    <t>rodolfocanot@hotmail.com</t>
  </si>
  <si>
    <t>RODOLFO CANO TOLENTINO</t>
  </si>
  <si>
    <t>R.C.T.</t>
  </si>
  <si>
    <t>Evelyn Bellido</t>
  </si>
  <si>
    <t>Palomino</t>
  </si>
  <si>
    <t>Viviana Malaga</t>
  </si>
  <si>
    <t>Maria</t>
  </si>
  <si>
    <t>Elena Leon</t>
  </si>
  <si>
    <t>frovai@pacificovida.net</t>
  </si>
  <si>
    <t>Hub Encore 04 ptos.</t>
  </si>
  <si>
    <t>Descripcion</t>
  </si>
  <si>
    <t>plaq Ok H026</t>
  </si>
  <si>
    <t> YG6034</t>
  </si>
  <si>
    <t> 150202996</t>
  </si>
  <si>
    <t>Taller Elec</t>
  </si>
  <si>
    <t>Admin/Server</t>
  </si>
  <si>
    <t>Itm</t>
  </si>
  <si>
    <t>N.A.</t>
  </si>
  <si>
    <t>Andy Robles</t>
  </si>
  <si>
    <t>QUIMPAC</t>
  </si>
  <si>
    <t>Location</t>
  </si>
  <si>
    <r>
      <t xml:space="preserve">342  </t>
    </r>
    <r>
      <rPr>
        <sz val="9"/>
        <rFont val="Arial"/>
        <family val="2"/>
      </rPr>
      <t>ZG-3489</t>
    </r>
  </si>
  <si>
    <t>ZG-9419</t>
  </si>
  <si>
    <t>ZG-8742</t>
  </si>
  <si>
    <t> ZG7863</t>
  </si>
  <si>
    <t>018322</t>
  </si>
  <si>
    <t>V-09/2009</t>
  </si>
  <si>
    <t>Adelanto</t>
  </si>
  <si>
    <t>Servicio</t>
  </si>
  <si>
    <t>Nombredepantalladecorreoelectrónico</t>
  </si>
  <si>
    <t> 52</t>
  </si>
  <si>
    <t>Transporte Comercial y Seguro TAKUSHI S.A.C.</t>
  </si>
  <si>
    <t>N2</t>
  </si>
  <si>
    <t>008983</t>
  </si>
  <si>
    <t>009897</t>
  </si>
  <si>
    <t>Eduardo Segura</t>
  </si>
  <si>
    <t>Despintado deteriorado</t>
  </si>
  <si>
    <t>Total 0P97   Octavio Juarez P-</t>
  </si>
  <si>
    <t>Total 1D10   Neon Bobbio A.</t>
  </si>
  <si>
    <t> 150913201</t>
  </si>
  <si>
    <t> 150913202</t>
  </si>
  <si>
    <t> 123936</t>
  </si>
  <si>
    <t> 62</t>
  </si>
  <si>
    <t> YG6131</t>
  </si>
  <si>
    <t>existe tambien tela jersey 20/1 a 20 soles el kg pero es gruesa y pesa y ya no le salen los 4,5 polos sino menos</t>
  </si>
  <si>
    <t xml:space="preserve"> 04 Dias Libres</t>
  </si>
  <si>
    <t>Total</t>
  </si>
  <si>
    <t>Málaga Cochella</t>
  </si>
  <si>
    <t>Jose Alfonso Málaga Cochella</t>
  </si>
  <si>
    <t>Mat_Tarj</t>
  </si>
  <si>
    <t>65639-9247</t>
  </si>
  <si>
    <t>Jonathan Moreno : 966-978-363</t>
  </si>
  <si>
    <t>58468-5472</t>
  </si>
  <si>
    <t>150912484 / 52332-A</t>
  </si>
  <si>
    <t>OfficeLocation</t>
  </si>
  <si>
    <t>El Trabajo de planchado de puertas se hace en Transcosta</t>
  </si>
  <si>
    <t>03 ejes</t>
  </si>
  <si>
    <t>Solo 1/2 Chasis</t>
  </si>
  <si>
    <t>Chasis, Cabina, pocos accesorios</t>
  </si>
  <si>
    <t>I.R.R.</t>
  </si>
  <si>
    <t>Dante</t>
  </si>
  <si>
    <t>58453-5463</t>
  </si>
  <si>
    <t>58497-5488</t>
  </si>
  <si>
    <t>58484-5481</t>
  </si>
  <si>
    <t>58408-5441</t>
  </si>
  <si>
    <t>58421-5449</t>
  </si>
  <si>
    <t>TPC – RANSA BARRON</t>
  </si>
  <si>
    <t>330 DIAS</t>
  </si>
  <si>
    <t>Pintura Glasurit Uretana  - Color ALUMINIO</t>
  </si>
  <si>
    <t>Mantero/Limpieza</t>
  </si>
  <si>
    <t> 10180   </t>
  </si>
  <si>
    <t>ZG-6869</t>
  </si>
  <si>
    <t>PECSA</t>
  </si>
  <si>
    <t>RVizcarra@pecsa.com.pe</t>
  </si>
  <si>
    <t>Malaga Bekich</t>
  </si>
  <si>
    <t>A.Tamara C.Quispe</t>
  </si>
  <si>
    <t>DEUDA TOTAL ACUMULADA S/.</t>
  </si>
  <si>
    <t>Semana</t>
  </si>
  <si>
    <t>Mar</t>
  </si>
  <si>
    <t>65650-9254</t>
  </si>
  <si>
    <t>65653-9255</t>
  </si>
  <si>
    <t>Embragues Chincha :  826*8732</t>
  </si>
  <si>
    <t>Comida STdL</t>
  </si>
  <si>
    <t>SagaFalabella</t>
  </si>
  <si>
    <t>358 W2U-979</t>
  </si>
  <si>
    <t> 7800    </t>
  </si>
  <si>
    <t>65658-9258</t>
  </si>
  <si>
    <t>65659-9259</t>
  </si>
  <si>
    <t>65666-9260</t>
  </si>
  <si>
    <r>
      <t>11353828</t>
    </r>
    <r>
      <rPr>
        <sz val="10"/>
        <rFont val="Arial"/>
        <family val="2"/>
      </rPr>
      <t xml:space="preserve">  a 1 Pasajero</t>
    </r>
  </si>
  <si>
    <t> 150912489</t>
  </si>
  <si>
    <t> 150829866</t>
  </si>
  <si>
    <t> 150913194</t>
  </si>
  <si>
    <t> 150913195</t>
  </si>
  <si>
    <t>Tc</t>
  </si>
  <si>
    <t>cambio de caracteristicas 7-10d</t>
  </si>
  <si>
    <t>COSTO S/. 125.00= C/U</t>
  </si>
  <si>
    <t>150913207 / 53036-A</t>
  </si>
  <si>
    <r>
      <t xml:space="preserve"> </t>
    </r>
    <r>
      <rPr>
        <sz val="8"/>
        <color indexed="12"/>
        <rFont val="Bookman Old Style"/>
        <family val="1"/>
      </rPr>
      <t xml:space="preserve">DIRECTV </t>
    </r>
    <r>
      <rPr>
        <sz val="8"/>
        <rFont val="Bookman Old Style"/>
        <family val="1"/>
      </rPr>
      <t xml:space="preserve">[ </t>
    </r>
    <r>
      <rPr>
        <sz val="8"/>
        <color indexed="10"/>
        <rFont val="Bookman Old Style"/>
        <family val="1"/>
      </rPr>
      <t>COD :</t>
    </r>
    <r>
      <rPr>
        <sz val="8"/>
        <rFont val="Bookman Old Style"/>
        <family val="1"/>
      </rPr>
      <t xml:space="preserve"> </t>
    </r>
    <r>
      <rPr>
        <sz val="10"/>
        <color indexed="10"/>
        <rFont val="Bookman Old Style"/>
        <family val="1"/>
      </rPr>
      <t>27581339</t>
    </r>
    <r>
      <rPr>
        <sz val="8"/>
        <rFont val="Bookman Old Style"/>
        <family val="1"/>
      </rPr>
      <t>]</t>
    </r>
  </si>
  <si>
    <t>2 TOYOTA Corona plateado</t>
  </si>
  <si>
    <t>Teléfonodeltrabajo</t>
  </si>
  <si>
    <t>Juan Canchahuaman</t>
  </si>
  <si>
    <t> 5630    </t>
  </si>
  <si>
    <t>Mantero/Jardinero</t>
  </si>
  <si>
    <t>Solis</t>
  </si>
  <si>
    <t>Costo Aproximado S/. 500.00=</t>
  </si>
  <si>
    <t> 1999</t>
  </si>
  <si>
    <t>2.57</t>
  </si>
  <si>
    <t>Jul y Dic-Gratif [Dp-Julio Sencia]</t>
  </si>
  <si>
    <t>BusinessPhone2</t>
  </si>
  <si>
    <t>Devolucióndellamada</t>
  </si>
  <si>
    <r>
      <t xml:space="preserve">Diciembre . .           .            2005 .  </t>
    </r>
    <r>
      <rPr>
        <u/>
        <sz val="10"/>
        <color indexed="10"/>
        <rFont val="Arial Narrow"/>
        <family val="2"/>
      </rPr>
      <t xml:space="preserve"> </t>
    </r>
    <r>
      <rPr>
        <b/>
        <u/>
        <sz val="10"/>
        <color indexed="10"/>
        <rFont val="Arial Narrow"/>
        <family val="2"/>
      </rPr>
      <t xml:space="preserve"> </t>
    </r>
    <r>
      <rPr>
        <b/>
        <u/>
        <sz val="11"/>
        <color indexed="10"/>
        <rFont val="Arial Narrow"/>
        <family val="2"/>
      </rPr>
      <t xml:space="preserve">.    </t>
    </r>
    <r>
      <rPr>
        <b/>
        <u/>
        <sz val="14"/>
        <color indexed="10"/>
        <rFont val="Arial Narrow"/>
        <family val="2"/>
      </rPr>
      <t>353.35</t>
    </r>
  </si>
  <si>
    <t>Boleta por corregir/Imprimir</t>
  </si>
  <si>
    <t xml:space="preserve">       Empleados</t>
  </si>
  <si>
    <t>#</t>
  </si>
  <si>
    <t>Ap. Paterno</t>
  </si>
  <si>
    <t>018328</t>
  </si>
  <si>
    <t>Muñoz</t>
  </si>
  <si>
    <t>Horacio</t>
  </si>
  <si>
    <t>Cortez</t>
  </si>
  <si>
    <t>Espinoza</t>
  </si>
  <si>
    <t>*** se acordo con el Sr. Malaga a S/ 1500.00 (06/01/10)</t>
  </si>
  <si>
    <t>Cliente:</t>
  </si>
  <si>
    <t xml:space="preserve"> SIGO-SUTRAN. (consultas)</t>
  </si>
  <si>
    <t>2008-448004</t>
  </si>
  <si>
    <t>Liendo, Jorge SLPERU - OLLB/2211</t>
  </si>
  <si>
    <t>T_Boleta de pago</t>
  </si>
  <si>
    <r>
      <t xml:space="preserve"> 2 </t>
    </r>
    <r>
      <rPr>
        <b/>
        <sz val="10"/>
        <rFont val="Arial"/>
        <family val="2"/>
      </rPr>
      <t xml:space="preserve">FRED BENJAMIN TAMARA CHAMORRO </t>
    </r>
    <r>
      <rPr>
        <sz val="10"/>
        <rFont val="Arial"/>
        <family val="2"/>
      </rPr>
      <t xml:space="preserve">DNI: 09802451  A S/. 192-19999749-0-64 </t>
    </r>
    <r>
      <rPr>
        <b/>
        <sz val="10"/>
        <rFont val="Arial"/>
        <family val="2"/>
      </rPr>
      <t>S/. 150.00</t>
    </r>
    <r>
      <rPr>
        <sz val="10"/>
        <rFont val="Arial"/>
        <family val="2"/>
      </rPr>
      <t xml:space="preserve"> PRESTAMO PRESTAMO Sí  </t>
    </r>
  </si>
  <si>
    <t>vianexd@live.com</t>
  </si>
  <si>
    <t>8.02</t>
  </si>
  <si>
    <t>JETSAUL JOSE PEREA NOGUNI</t>
  </si>
  <si>
    <t>J.J.P.N.</t>
  </si>
  <si>
    <t>61376-5599</t>
  </si>
  <si>
    <t>61379-5600</t>
  </si>
  <si>
    <t>61381-5601</t>
  </si>
  <si>
    <t>61382-5602</t>
  </si>
  <si>
    <t>59027-5509</t>
  </si>
  <si>
    <t>BOF-920</t>
  </si>
  <si>
    <t> H-031</t>
  </si>
  <si>
    <t> 84</t>
  </si>
  <si>
    <t>MORENO BAZALAR ERICK JONATHAN</t>
  </si>
  <si>
    <t>70519737</t>
  </si>
  <si>
    <t>QUEUÑA CHUMPITAZ JUAN CARLOS</t>
  </si>
  <si>
    <t>09061729</t>
  </si>
  <si>
    <t>Charo Málaga (rosario.malaga@albertasociados.com)</t>
  </si>
  <si>
    <t>C.M.</t>
  </si>
  <si>
    <t> 1960</t>
  </si>
  <si>
    <t> 5665    </t>
  </si>
  <si>
    <t>3.25**</t>
  </si>
  <si>
    <t>2.53</t>
  </si>
  <si>
    <t>1D60</t>
  </si>
  <si>
    <t> SRV-40-3-147</t>
  </si>
  <si>
    <t>10166737</t>
  </si>
  <si>
    <t>Lija p madera</t>
  </si>
  <si>
    <t>Codicion en planilla y boletas</t>
  </si>
  <si>
    <t xml:space="preserve">Fecha : </t>
  </si>
  <si>
    <t>* : medido en techo-exterior- de cabina, tiene 100mm mas por bocina.</t>
  </si>
  <si>
    <r>
      <t>Memorandum - Sem 52/2012</t>
    </r>
    <r>
      <rPr>
        <b/>
        <sz val="12"/>
        <rFont val="Courier Final Draft"/>
        <family val="3"/>
      </rPr>
      <t xml:space="preserve">   </t>
    </r>
    <r>
      <rPr>
        <sz val="12"/>
        <rFont val="Courier Final Draft"/>
        <family val="3"/>
      </rPr>
      <t xml:space="preserve">-   </t>
    </r>
    <r>
      <rPr>
        <sz val="10"/>
        <rFont val="Courier Final Draft"/>
        <family val="3"/>
      </rPr>
      <t>Fecha: 02/01/13</t>
    </r>
  </si>
  <si>
    <t>Mano de Obra al 06/01/10  S/.</t>
  </si>
  <si>
    <t>211-5652 ; 211-5630</t>
  </si>
  <si>
    <t>42258888</t>
  </si>
  <si>
    <t>REQUEJO HERNANDEZ, POMPEYO C&amp;Cia</t>
  </si>
  <si>
    <t>claudia.pinasco@latam.shell.com</t>
  </si>
  <si>
    <t>Claudia Pinasco SLPERU</t>
  </si>
  <si>
    <t>C.P.S.</t>
  </si>
  <si>
    <t>Guardfng der, Soportefibra descolgado</t>
  </si>
  <si>
    <t>TOTAL APROX.</t>
  </si>
  <si>
    <t xml:space="preserve">  06/03/2011  15:35 Hrs</t>
  </si>
  <si>
    <t>58417-5445</t>
  </si>
  <si>
    <t>58405-5439</t>
  </si>
  <si>
    <t>58477-5476</t>
  </si>
  <si>
    <t>1D56</t>
  </si>
  <si>
    <t>58425-5451</t>
  </si>
  <si>
    <t>0074458-1392944</t>
  </si>
  <si>
    <t>1D48</t>
  </si>
  <si>
    <t>1082400-8723238</t>
  </si>
  <si>
    <t>Total 1D48</t>
  </si>
  <si>
    <t>Provinciaoestadodetrabajo</t>
  </si>
  <si>
    <t>Moneda:</t>
  </si>
  <si>
    <t>US$ Dólares Americanos</t>
  </si>
  <si>
    <t>Motor :</t>
  </si>
  <si>
    <t xml:space="preserve"> 2C2412762</t>
  </si>
  <si>
    <t>Marca :</t>
  </si>
  <si>
    <t>TOYOTA</t>
  </si>
  <si>
    <t>Color :</t>
  </si>
  <si>
    <t xml:space="preserve">Negro </t>
  </si>
  <si>
    <t> SRV-40-3-009</t>
  </si>
  <si>
    <t>existe tela desde 18,5    jersey 30/1  que es delgado y se destiñe</t>
  </si>
  <si>
    <t>A partir del 3do. año</t>
  </si>
  <si>
    <t>10578283</t>
  </si>
  <si>
    <t>HYUNDAI Santa Fe</t>
  </si>
  <si>
    <t> 3250    </t>
  </si>
  <si>
    <t> 2</t>
  </si>
  <si>
    <t> YG1327</t>
  </si>
  <si>
    <t>ZI-1274</t>
  </si>
  <si>
    <t>Pago en Est_01</t>
  </si>
  <si>
    <t>YG-1383</t>
  </si>
  <si>
    <t>YG-1335</t>
  </si>
  <si>
    <t> 1998</t>
  </si>
  <si>
    <t> 29600   </t>
  </si>
  <si>
    <t> 9400    </t>
  </si>
  <si>
    <t>Inicio de Pago</t>
  </si>
  <si>
    <t>Deuda Total</t>
  </si>
  <si>
    <t> SRV-40-3-020</t>
  </si>
  <si>
    <t> 91</t>
  </si>
  <si>
    <t> ZG6762</t>
  </si>
  <si>
    <t>Julio</t>
  </si>
  <si>
    <r>
      <t xml:space="preserve">343  </t>
    </r>
    <r>
      <rPr>
        <sz val="9"/>
        <rFont val="Arial"/>
        <family val="2"/>
      </rPr>
      <t>ZG-3490</t>
    </r>
  </si>
  <si>
    <t>Carlos Calderon</t>
  </si>
  <si>
    <t>SERPAC</t>
  </si>
  <si>
    <t>Marvin Molina</t>
  </si>
  <si>
    <t>Comandante Falco</t>
  </si>
  <si>
    <t>SAVAR</t>
  </si>
  <si>
    <t>ANGELICA</t>
  </si>
  <si>
    <t> 81</t>
  </si>
  <si>
    <t> ZG3486</t>
  </si>
  <si>
    <t> 150203031</t>
  </si>
  <si>
    <t>AV. CENTRAL MZA. 46 LOTE. A Z.I. PEC PQ PORCINO (SEC 8) PRV. CONST CALLAO - VENT</t>
  </si>
  <si>
    <t>10716830</t>
  </si>
  <si>
    <t>10716833</t>
  </si>
  <si>
    <t>155</t>
  </si>
  <si>
    <t>124</t>
  </si>
  <si>
    <t>159</t>
  </si>
  <si>
    <t>Mecanico Automotriz</t>
  </si>
  <si>
    <t>Pintar en Uretano plomo funda parachoque posterior</t>
  </si>
  <si>
    <t>REPUESTOS</t>
  </si>
  <si>
    <t>MEDICINA INTERNA</t>
  </si>
  <si>
    <t>Centro</t>
  </si>
  <si>
    <t> 36</t>
  </si>
  <si>
    <r>
      <t>IMPRESA Pagado/</t>
    </r>
    <r>
      <rPr>
        <b/>
        <sz val="9"/>
        <rFont val="Arial"/>
        <family val="2"/>
      </rPr>
      <t>FIRMADO</t>
    </r>
  </si>
  <si>
    <t>Inv_Crist Chasis torcd(TC-Vta_Monroy) Ex224</t>
  </si>
  <si>
    <t>1D10</t>
  </si>
  <si>
    <t>Quieb</t>
  </si>
  <si>
    <t>ST1914034585</t>
  </si>
  <si>
    <t xml:space="preserve"> 25/09/2004</t>
  </si>
  <si>
    <t>Fecha Ingreso Spp</t>
  </si>
  <si>
    <t>Hora de Cita</t>
  </si>
  <si>
    <t>Referencia de Atencion</t>
  </si>
  <si>
    <t>1D68</t>
  </si>
  <si>
    <t>Garcia</t>
  </si>
  <si>
    <t>Maxe</t>
  </si>
  <si>
    <t>Roman</t>
  </si>
  <si>
    <t>SENA VARGAS, ELIZABETH LUDOVINA</t>
  </si>
  <si>
    <t>transcos</t>
  </si>
  <si>
    <t>Contraseña:</t>
  </si>
  <si>
    <r>
      <t>7</t>
    </r>
    <r>
      <rPr>
        <sz val="12"/>
        <color indexed="12"/>
        <rFont val="Arial"/>
        <family val="2"/>
      </rPr>
      <t xml:space="preserve"> </t>
    </r>
    <r>
      <rPr>
        <sz val="9"/>
        <color indexed="12"/>
        <rFont val="Arial"/>
        <family val="2"/>
      </rPr>
      <t>pulg  -----&gt;</t>
    </r>
  </si>
  <si>
    <t>009885</t>
  </si>
  <si>
    <t>LISTO MARBELLA</t>
  </si>
  <si>
    <t xml:space="preserve"> 02 Certificados de Salud Mental</t>
  </si>
  <si>
    <t>Briceno</t>
  </si>
  <si>
    <t>Chasis partido, Cabina, pocos accesorios</t>
  </si>
  <si>
    <r>
      <t xml:space="preserve">1 </t>
    </r>
    <r>
      <rPr>
        <b/>
        <sz val="10"/>
        <color indexed="54"/>
        <rFont val="Arial"/>
        <family val="2"/>
      </rPr>
      <t>SANTOS ELIGIO CRUZADO BURGOS</t>
    </r>
    <r>
      <rPr>
        <sz val="10"/>
        <color indexed="54"/>
        <rFont val="Arial"/>
        <family val="2"/>
      </rPr>
      <t xml:space="preserve"> DNI: 10578283  A S/. 193-15953449-0-93 </t>
    </r>
    <r>
      <rPr>
        <b/>
        <u/>
        <sz val="10"/>
        <color indexed="54"/>
        <rFont val="Arial"/>
        <family val="2"/>
      </rPr>
      <t>S/. 500.00</t>
    </r>
    <r>
      <rPr>
        <sz val="10"/>
        <color indexed="54"/>
        <rFont val="Arial"/>
        <family val="2"/>
      </rPr>
      <t xml:space="preserve"> A CTA VACACIONES A CTA VACACIONES </t>
    </r>
  </si>
  <si>
    <t>0080104-6224401</t>
  </si>
  <si>
    <t>0D10</t>
  </si>
  <si>
    <t>150912476 / 52342-A</t>
  </si>
  <si>
    <t>150911614 / 51743-A</t>
  </si>
  <si>
    <t> 150912484</t>
  </si>
  <si>
    <t> 10180    </t>
  </si>
  <si>
    <t>lzevallos@malaga-webb.com</t>
  </si>
  <si>
    <t>Mariana Serrano</t>
  </si>
  <si>
    <r>
      <t xml:space="preserve">  Factura del proveedor 00000002-008271    </t>
    </r>
    <r>
      <rPr>
        <b/>
        <sz val="10"/>
        <rFont val="Arial"/>
        <family val="2"/>
      </rPr>
      <t xml:space="preserve">US$ 373.88    </t>
    </r>
  </si>
  <si>
    <t>Huaman</t>
  </si>
  <si>
    <t>Cuya</t>
  </si>
  <si>
    <t>Herbert</t>
  </si>
  <si>
    <t>Victor</t>
  </si>
  <si>
    <t>Alvarez</t>
  </si>
  <si>
    <t>Sanchez</t>
  </si>
  <si>
    <t>YG1461</t>
  </si>
  <si>
    <t>nolazabalm@detec.com.pe</t>
  </si>
  <si>
    <t>ESSALUD ACRED</t>
  </si>
  <si>
    <t> 61894</t>
  </si>
  <si>
    <t> ZG3481</t>
  </si>
  <si>
    <t>ARANGOITIA PAYHUA SAMUEL ELIAS</t>
  </si>
  <si>
    <r>
      <t xml:space="preserve">IMPRESA / </t>
    </r>
    <r>
      <rPr>
        <b/>
        <sz val="14"/>
        <color indexed="16"/>
        <rFont val="Arial"/>
        <family val="2"/>
      </rPr>
      <t>NO</t>
    </r>
    <r>
      <rPr>
        <sz val="10"/>
        <color indexed="16"/>
        <rFont val="Arial"/>
        <family val="2"/>
      </rPr>
      <t xml:space="preserve"> PAGADO</t>
    </r>
  </si>
  <si>
    <t> 150912485</t>
  </si>
  <si>
    <t> 10140    </t>
  </si>
  <si>
    <t>10709594  a 1 Pasajero</t>
  </si>
  <si>
    <t>Vuelto</t>
  </si>
  <si>
    <t>018335</t>
  </si>
  <si>
    <t> SRV-40-3-038</t>
  </si>
  <si>
    <t> 1993</t>
  </si>
  <si>
    <t>CARGO</t>
  </si>
  <si>
    <t>Soldador</t>
  </si>
  <si>
    <t>contacto@correos.pacificovida.com.pe</t>
  </si>
  <si>
    <t>Vencimient-SOAT</t>
  </si>
  <si>
    <t>201  B1G-984</t>
  </si>
  <si>
    <t>Itm.</t>
  </si>
  <si>
    <t>Fecha</t>
  </si>
  <si>
    <t>Unidad enmallada - pollero</t>
  </si>
  <si>
    <t>ZG-3490</t>
  </si>
  <si>
    <t>Libre</t>
  </si>
  <si>
    <t>1306326-4468552</t>
  </si>
  <si>
    <t>1P77</t>
  </si>
  <si>
    <t>1309547-6415629</t>
  </si>
  <si>
    <t>024614-1388873</t>
  </si>
  <si>
    <t>2D09</t>
  </si>
  <si>
    <t> 150203016</t>
  </si>
  <si>
    <t> 71-121-02010</t>
  </si>
  <si>
    <t> 1959</t>
  </si>
  <si>
    <t> 20000   </t>
  </si>
  <si>
    <t>Re-inicio 17/08/15</t>
  </si>
  <si>
    <t>Movistar 17-08-15 09:10</t>
  </si>
  <si>
    <t>5.9</t>
  </si>
  <si>
    <t>Movistar 17-08-15 10:43</t>
  </si>
  <si>
    <t>esantos@meridian.com.pe</t>
  </si>
  <si>
    <t>Jorge Pacotaype</t>
  </si>
  <si>
    <t>HUARINGA BUSTOS IRVING EDUARDO</t>
  </si>
  <si>
    <t>TORNERO</t>
  </si>
  <si>
    <t>Soltero</t>
  </si>
  <si>
    <t>Inicio de tramites al 13/0807</t>
  </si>
  <si>
    <t>Moscoso</t>
  </si>
  <si>
    <t>Juan Carlos García</t>
  </si>
  <si>
    <t>971518983</t>
  </si>
  <si>
    <t>LGC-508</t>
  </si>
  <si>
    <t>Circuncicion</t>
  </si>
  <si>
    <t>Sist Operativo de Pc</t>
  </si>
  <si>
    <t>MS Visual Foxpro</t>
  </si>
  <si>
    <t>024610-9946188</t>
  </si>
  <si>
    <t>2D03</t>
  </si>
  <si>
    <t>024620-4630054</t>
  </si>
  <si>
    <t>1024631-5721438</t>
  </si>
  <si>
    <t>301280-1505599</t>
  </si>
  <si>
    <t>301275-0748197</t>
  </si>
  <si>
    <t>127291-4764620</t>
  </si>
  <si>
    <t>2D02</t>
  </si>
  <si>
    <t>127288-5859416</t>
  </si>
  <si>
    <t>127289-1266825</t>
  </si>
  <si>
    <t>Total 2D09</t>
  </si>
  <si>
    <t>Total 2D03</t>
  </si>
  <si>
    <t>Total 2D02</t>
  </si>
  <si>
    <t>Total 1P77</t>
  </si>
  <si>
    <t>Percy Celis S.</t>
  </si>
  <si>
    <t>Mario Alarico P.</t>
  </si>
  <si>
    <t>Walter Vargas H.</t>
  </si>
  <si>
    <t>Emmanuel Laureano Y.</t>
  </si>
  <si>
    <t>Walter Gaitan C-</t>
  </si>
  <si>
    <t>Caliton Salas V.</t>
  </si>
  <si>
    <r>
      <t>Memorandum - Sem 029/2016</t>
    </r>
    <r>
      <rPr>
        <b/>
        <sz val="10"/>
        <rFont val="Courier Final Draft"/>
        <family val="3"/>
      </rPr>
      <t xml:space="preserve">   </t>
    </r>
    <r>
      <rPr>
        <sz val="10"/>
        <rFont val="Courier Final Draft"/>
        <family val="3"/>
      </rPr>
      <t xml:space="preserve">-   Fecha: 26/07/16                      </t>
    </r>
  </si>
  <si>
    <t>YG-1705</t>
  </si>
  <si>
    <t>YG-6385</t>
  </si>
  <si>
    <t>YG-6128</t>
  </si>
  <si>
    <t>YG-6125</t>
  </si>
  <si>
    <t>Ingeniero Civil CIP 42201</t>
  </si>
  <si>
    <t>TRANSCOSTA SAC</t>
  </si>
  <si>
    <t>01 Cocina semi-industrial 02 Refrigeradoras</t>
  </si>
  <si>
    <t> YG1440</t>
  </si>
  <si>
    <t> 150202991</t>
  </si>
  <si>
    <t>738522-9033249</t>
  </si>
  <si>
    <t>lucero_20062@hotmail.com</t>
  </si>
  <si>
    <t>8000 0903 0275 9133</t>
  </si>
  <si>
    <t> 150402532</t>
  </si>
  <si>
    <t> 104458P</t>
  </si>
  <si>
    <t> 45</t>
  </si>
  <si>
    <t>115770-2467737</t>
  </si>
  <si>
    <t>115763-8971602</t>
  </si>
  <si>
    <t>R2523-8523247</t>
  </si>
  <si>
    <t> 32000   </t>
  </si>
  <si>
    <t>imalaga@amrop-peru.com</t>
  </si>
  <si>
    <t>rafael</t>
  </si>
  <si>
    <t>vertiz</t>
  </si>
  <si>
    <t>SRV-40-3-049</t>
  </si>
  <si>
    <t>25751503</t>
  </si>
  <si>
    <t>577-7012</t>
  </si>
  <si>
    <t>SRV-30-3-026</t>
  </si>
  <si>
    <t>SATECI</t>
  </si>
  <si>
    <t>Item 11 y 16: Motor modelo NTC 350, 350 HP @ 2100 RPM</t>
  </si>
  <si>
    <t>Clemente</t>
  </si>
  <si>
    <t>Total 1D25</t>
  </si>
  <si>
    <t>Total 1D39</t>
  </si>
  <si>
    <t>Total 1D55</t>
  </si>
  <si>
    <t>PLACA</t>
  </si>
  <si>
    <t>Nº</t>
  </si>
  <si>
    <t>UNIDAD</t>
  </si>
  <si>
    <t> 48</t>
  </si>
  <si>
    <t>Camargo</t>
  </si>
  <si>
    <t>Desmontaje y montaje de parabrisas posterior</t>
  </si>
  <si>
    <t>Fec_Renuncia a TRANSCOSTA</t>
  </si>
  <si>
    <t>06177146</t>
  </si>
  <si>
    <t>Alex</t>
  </si>
  <si>
    <t>Chiclote</t>
  </si>
  <si>
    <t xml:space="preserve">Contacto: Raúl Yong López_x000D_
Cuentas de Abono de CMACICA S.A.  (Teléfono: 430-3581)_x000D_
_x000D_
Banco de Crédito:  	380-0024450-0-52_x000D_
Banco de la Nación:	601-006960_x000D_
_x000D_
Faxear depósito al 	430-3579 [indicar : D.N.I. y Nombre]_x000D_
</t>
  </si>
  <si>
    <t>Eulogio</t>
  </si>
  <si>
    <t>SLPERU - DFN/D671</t>
  </si>
  <si>
    <t>B7Q-029</t>
  </si>
  <si>
    <t>11573353  a 1 Pasajero</t>
  </si>
  <si>
    <t>002133</t>
  </si>
  <si>
    <t>ZG-6710</t>
  </si>
  <si>
    <t>FF-105</t>
  </si>
  <si>
    <t>985-035-353</t>
  </si>
  <si>
    <r>
      <t>Memorandum - Sem 13/2015</t>
    </r>
    <r>
      <rPr>
        <b/>
        <sz val="10"/>
        <rFont val="Courier Final Draft"/>
        <family val="3"/>
      </rPr>
      <t xml:space="preserve">   </t>
    </r>
    <r>
      <rPr>
        <sz val="10"/>
        <rFont val="Courier Final Draft"/>
        <family val="3"/>
      </rPr>
      <t xml:space="preserve">-   Fecha: 31/03/15    </t>
    </r>
    <r>
      <rPr>
        <sz val="8"/>
        <rFont val="Courier Final Draft"/>
      </rPr>
      <t>(Viaje Simple del 15/03/15)</t>
    </r>
  </si>
  <si>
    <t xml:space="preserve">   Walter Gaitan Calixto</t>
  </si>
  <si>
    <t>Pago S/. 175.00 + IGV =</t>
  </si>
  <si>
    <t>FWC-510512</t>
  </si>
  <si>
    <t>Set</t>
  </si>
  <si>
    <t>Erick Roca - PECSA</t>
  </si>
  <si>
    <t xml:space="preserve"> DB5 S-50</t>
  </si>
  <si>
    <t>Administracion</t>
  </si>
  <si>
    <t>E/S TAVIRSA</t>
  </si>
  <si>
    <t>TPC– RANSA</t>
  </si>
  <si>
    <t>Patricia Linares</t>
  </si>
  <si>
    <t>Tk-Tc</t>
  </si>
  <si>
    <t xml:space="preserve">Banco de Crédito </t>
  </si>
  <si>
    <t>150911610 / 51740-A</t>
  </si>
  <si>
    <t>Cualquier consulta favor escríbanos a través de la opción Contáctenos</t>
  </si>
  <si>
    <t>PECSA - Rafael Vizcarra</t>
  </si>
  <si>
    <t>2.81*+0.49=3.30</t>
  </si>
  <si>
    <t>Eligio</t>
  </si>
  <si>
    <t> 29500  </t>
  </si>
  <si>
    <t>Toyota CRUSIER</t>
  </si>
  <si>
    <t>Nota: los calculos deben ser de acuerdo a la modificatoria que son de 12 meses antes del suceso lo cual corresponderi a S/. 24.97, Se tomaron para el calculo desde ene-2006 hasta dic-2006 (330dias, ene-2006=0)</t>
  </si>
  <si>
    <t>marca</t>
  </si>
  <si>
    <t>Nº registro</t>
  </si>
  <si>
    <t>F. EMISIÓN</t>
  </si>
  <si>
    <t>F. VENCIMIENTO</t>
  </si>
  <si>
    <t>M.E.L.</t>
  </si>
  <si>
    <t>italoc</t>
  </si>
  <si>
    <t>150911617 / 51745-A</t>
  </si>
  <si>
    <t>150911607 / 51737-A</t>
  </si>
  <si>
    <t>Transferencia Vehicular</t>
  </si>
  <si>
    <r>
      <t xml:space="preserve">230  </t>
    </r>
    <r>
      <rPr>
        <sz val="9"/>
        <rFont val="Arial"/>
        <family val="2"/>
      </rPr>
      <t>ZG-9419</t>
    </r>
  </si>
  <si>
    <r>
      <t xml:space="preserve">302  </t>
    </r>
    <r>
      <rPr>
        <sz val="9"/>
        <rFont val="Arial"/>
        <family val="2"/>
      </rPr>
      <t>ZG-1462</t>
    </r>
  </si>
  <si>
    <t>venceacril</t>
  </si>
  <si>
    <t>Unidad antigua de 01 eje Inoperativa (chasis cabina acc)</t>
  </si>
  <si>
    <t>A estas unidades se les hara modificacion de caracteristicas de acuerdo a ORLC , con la respectiva modificacion en la tarjeta de propiedad de 03 a 02 ejes, tramites serian realizados por el Ing. Oswaldo Velasquez (inicio: ??/09/2008).</t>
  </si>
  <si>
    <t>06227578</t>
  </si>
  <si>
    <t>YG-6131</t>
  </si>
  <si>
    <t>YG-6132</t>
  </si>
  <si>
    <t>YG-6159</t>
  </si>
  <si>
    <t>YG-6033</t>
  </si>
  <si>
    <t>YG-6034</t>
  </si>
  <si>
    <t>Observaciones</t>
  </si>
  <si>
    <t>Flota General</t>
  </si>
  <si>
    <t>Nro.</t>
  </si>
  <si>
    <t>Total 0D78 Eufemio Lucana C.</t>
  </si>
  <si>
    <t>X</t>
  </si>
  <si>
    <t>486 DX</t>
  </si>
  <si>
    <t>PCs Por Renovar</t>
  </si>
  <si>
    <t>Oserv.</t>
  </si>
  <si>
    <t>ALESE KIA</t>
  </si>
  <si>
    <t>11314555   a 1 Pasajero</t>
  </si>
  <si>
    <t>Ministerio de la Produccion</t>
  </si>
  <si>
    <t>TEJADA LLAUCE  MIGUEL</t>
  </si>
  <si>
    <t>HUAMANI ILASACA MIGUEL GABRIEL</t>
  </si>
  <si>
    <t>NRO DOCUMENTO</t>
  </si>
  <si>
    <t>GARCIA VARGAS PEDRO PABLO</t>
  </si>
  <si>
    <t>08773807</t>
  </si>
  <si>
    <t>20/07/2015</t>
  </si>
  <si>
    <t>80159476</t>
  </si>
  <si>
    <t>HUALLPA MAMANI RUFINO</t>
  </si>
  <si>
    <t>45043620</t>
  </si>
  <si>
    <t>COSME JURADO CARLOS FRANCO</t>
  </si>
  <si>
    <t>43140713</t>
  </si>
  <si>
    <t>JACOBO BARROS ARGENIS SELTS</t>
  </si>
  <si>
    <t>61361-5597</t>
  </si>
  <si>
    <t>1P30</t>
  </si>
  <si>
    <t>58499-5490</t>
  </si>
  <si>
    <t>59022-5505</t>
  </si>
  <si>
    <t>59031-5513</t>
  </si>
  <si>
    <t>59013-5498</t>
  </si>
  <si>
    <t>59028-5510</t>
  </si>
  <si>
    <t>59017-5502</t>
  </si>
  <si>
    <t xml:space="preserve">Telecrédito WEB </t>
  </si>
  <si>
    <t> 150203037</t>
  </si>
  <si>
    <t>Essalud Vida  Cod : 1070</t>
  </si>
  <si>
    <t>Juan Andres</t>
  </si>
  <si>
    <t>Mendez Mallqui</t>
  </si>
  <si>
    <t>Edwin Cesar</t>
  </si>
  <si>
    <t>Moreno Bazalar</t>
  </si>
  <si>
    <t>Erick Jonathan</t>
  </si>
  <si>
    <t>Rojas Jorge</t>
  </si>
  <si>
    <t>Victor Hugo</t>
  </si>
  <si>
    <t>Silicona gris (chisguete)</t>
  </si>
  <si>
    <t>Jorge Hinostroza Valladares</t>
  </si>
  <si>
    <t> 150203065</t>
  </si>
  <si>
    <t>Jose Paz D.</t>
  </si>
  <si>
    <t>Nro. de</t>
  </si>
  <si>
    <t>018323</t>
  </si>
  <si>
    <t>Glns.&gt;&gt;&gt;</t>
  </si>
  <si>
    <t>Promedios</t>
  </si>
  <si>
    <t>Lect_Klms.</t>
  </si>
  <si>
    <t> 150915175</t>
  </si>
  <si>
    <t> FWC510512</t>
  </si>
  <si>
    <t>Isabel Cochella de Malaga</t>
  </si>
  <si>
    <t>Jorge Malaga Cocchella</t>
  </si>
  <si>
    <t>Irina Malaga Bekich</t>
  </si>
  <si>
    <t>Viviana Washburn de M.</t>
  </si>
  <si>
    <r>
      <t xml:space="preserve">224 </t>
    </r>
    <r>
      <rPr>
        <sz val="9"/>
        <rFont val="Arial"/>
        <family val="2"/>
      </rPr>
      <t xml:space="preserve"> ZG-7861</t>
    </r>
  </si>
  <si>
    <r>
      <t xml:space="preserve">202  </t>
    </r>
    <r>
      <rPr>
        <sz val="9"/>
        <color indexed="10"/>
        <rFont val="Arial"/>
        <family val="2"/>
      </rPr>
      <t>ZG-6710</t>
    </r>
  </si>
  <si>
    <r>
      <t xml:space="preserve">225  </t>
    </r>
    <r>
      <rPr>
        <sz val="9"/>
        <rFont val="Arial"/>
        <family val="2"/>
      </rPr>
      <t>ZG-7863</t>
    </r>
  </si>
  <si>
    <t>Oswaldo Velasquez</t>
  </si>
  <si>
    <t>72 / W-924 / 123941</t>
  </si>
  <si>
    <t> ZG7861</t>
  </si>
  <si>
    <t> 150911617</t>
  </si>
  <si>
    <t>NEXTEL CAL -</t>
  </si>
  <si>
    <t>Ordenes 2</t>
  </si>
  <si>
    <t>Jefe de Operac.</t>
  </si>
  <si>
    <t>*** Validado al 10/11/2009</t>
  </si>
  <si>
    <t> ZG3482</t>
  </si>
  <si>
    <t> 150203028</t>
  </si>
  <si>
    <t xml:space="preserve"> 1/4 gln</t>
  </si>
  <si>
    <t xml:space="preserve"> MC STANDAR INTERBANK</t>
  </si>
  <si>
    <t>Luis Cabrera L.</t>
  </si>
  <si>
    <t>6188-2248</t>
  </si>
  <si>
    <t> SRV-30-3-248</t>
  </si>
  <si>
    <t>LIMPIEZA</t>
  </si>
  <si>
    <t>Cocinera/comedor</t>
  </si>
  <si>
    <t>6194-2249</t>
  </si>
  <si>
    <t>6197-2250</t>
  </si>
  <si>
    <t>6200-2266</t>
  </si>
  <si>
    <t> H023</t>
  </si>
  <si>
    <t>Devolvieron documentos por NO ser legible el # de placa en foto de revision tecnica (26/06/2009 - MTC  jsm)  y  recibieron 01 grupo de 20 Unidades y estarian para el 30/06/2009</t>
  </si>
  <si>
    <t>009894</t>
  </si>
  <si>
    <t>008988</t>
  </si>
  <si>
    <t>Ordenes2@Nextel.Com.PE</t>
  </si>
  <si>
    <t> 15</t>
  </si>
  <si>
    <t> ZG7952</t>
  </si>
  <si>
    <t> 150203068</t>
  </si>
  <si>
    <t> SRT-25-269</t>
  </si>
  <si>
    <t> 5280    </t>
  </si>
  <si>
    <t> 16</t>
  </si>
  <si>
    <t>patricia.farias@latam.shell.com</t>
  </si>
  <si>
    <t> ZG2581</t>
  </si>
  <si>
    <t> 150203023</t>
  </si>
  <si>
    <t> 08</t>
  </si>
  <si>
    <t> 1977</t>
  </si>
  <si>
    <t>Av. La Molina 580</t>
  </si>
  <si>
    <t>Devuelto x Rectificacion de Oficio</t>
  </si>
  <si>
    <t>Despacho en Planta Sr. Bernad Colins 319-6568 - Callao</t>
  </si>
  <si>
    <t>Utilice la contraseña de la cuenta de correo electrónico.</t>
  </si>
  <si>
    <t>Servidor entrante:</t>
  </si>
  <si>
    <t>server.perucreativo.org</t>
  </si>
  <si>
    <t>971626433</t>
  </si>
  <si>
    <t>Cristiam Fernández</t>
  </si>
  <si>
    <t xml:space="preserve">   Usuario</t>
  </si>
  <si>
    <t>Acho</t>
  </si>
  <si>
    <t>SRV-30-3-248</t>
  </si>
  <si>
    <t>Anchante</t>
  </si>
  <si>
    <t>marthatsigris@hotmail.com</t>
  </si>
  <si>
    <t xml:space="preserve"> * Pers. de seguridad tiene armas de fuego con licencia</t>
  </si>
  <si>
    <t>58422-5450</t>
  </si>
  <si>
    <t>10 dias</t>
  </si>
  <si>
    <t> 8290    </t>
  </si>
  <si>
    <t> 30</t>
  </si>
  <si>
    <t>Notaría Gálvez</t>
  </si>
  <si>
    <t xml:space="preserve">Reintegro ORLC </t>
  </si>
  <si>
    <t>x</t>
  </si>
  <si>
    <t> 150203027</t>
  </si>
  <si>
    <t> H-022</t>
  </si>
  <si>
    <t> 1981</t>
  </si>
  <si>
    <t> 40000   </t>
  </si>
  <si>
    <t> 5600    </t>
  </si>
  <si>
    <t>AssistantsPhone</t>
  </si>
  <si>
    <t>Montoya, Nestor SLPERU</t>
  </si>
  <si>
    <t>N.S.M.</t>
  </si>
  <si>
    <t>tk20492292592</t>
  </si>
  <si>
    <t> 150202905</t>
  </si>
  <si>
    <t> 104461</t>
  </si>
  <si>
    <t xml:space="preserve">Reintegros SEM 47/2011 </t>
  </si>
  <si>
    <t>Mendoza</t>
  </si>
  <si>
    <t>TOYOTA Land Crusier</t>
  </si>
  <si>
    <t>TOYOTA Caldina 2.0CZ</t>
  </si>
  <si>
    <t>942-494-982</t>
  </si>
  <si>
    <t>Av. Javier Prado Este 4885</t>
  </si>
  <si>
    <t>LISTO FRUTALES</t>
  </si>
  <si>
    <t>Servidordedirectorio</t>
  </si>
  <si>
    <t>Spouse</t>
  </si>
  <si>
    <t>Nombredepantalladecorreoelectrónico2</t>
  </si>
  <si>
    <t>Movistar</t>
  </si>
  <si>
    <t>Amotiguadores Delanteros          S/.</t>
  </si>
  <si>
    <t>Amotiguadores Posteriores         S/.</t>
  </si>
  <si>
    <t>Total 0D18 Miguel Tejada Ll.</t>
  </si>
  <si>
    <t>Total 0D40 Jorge Huamani N.</t>
  </si>
  <si>
    <t>61637-5829</t>
  </si>
  <si>
    <t>61638-5830</t>
  </si>
  <si>
    <t>61639-5831</t>
  </si>
  <si>
    <t>61640-5832</t>
  </si>
  <si>
    <t>61641-5833</t>
  </si>
  <si>
    <t>61643-5834</t>
  </si>
  <si>
    <t>61646-5835</t>
  </si>
  <si>
    <t>61648-5836</t>
  </si>
  <si>
    <t>61649-5837</t>
  </si>
  <si>
    <t>Cmta.Pickup</t>
  </si>
  <si>
    <t>Ford</t>
  </si>
  <si>
    <t>Hermes Izaguirre</t>
  </si>
  <si>
    <t>Auxilio Mecanico</t>
  </si>
  <si>
    <t>N. Bobbio</t>
  </si>
  <si>
    <t>Z. Felix</t>
  </si>
  <si>
    <t>115989-2563459</t>
  </si>
  <si>
    <t>116016-4519456</t>
  </si>
  <si>
    <t>PACHECO</t>
  </si>
  <si>
    <t> ZG6706</t>
  </si>
  <si>
    <t>Av. Tomas Marsano 2650 - Miraflores</t>
  </si>
  <si>
    <t>273-4564</t>
  </si>
  <si>
    <t>815 *4488</t>
  </si>
  <si>
    <t>99-815-4488</t>
  </si>
  <si>
    <r>
      <t>Memorandum - Sem 01/2013</t>
    </r>
    <r>
      <rPr>
        <b/>
        <sz val="12"/>
        <rFont val="Courier Final Draft"/>
        <family val="3"/>
      </rPr>
      <t xml:space="preserve">   </t>
    </r>
    <r>
      <rPr>
        <sz val="12"/>
        <rFont val="Courier Final Draft"/>
        <family val="3"/>
      </rPr>
      <t xml:space="preserve">-   </t>
    </r>
    <r>
      <rPr>
        <sz val="10"/>
        <rFont val="Courier Final Draft"/>
        <family val="3"/>
      </rPr>
      <t>Fecha: 09/01/13</t>
    </r>
  </si>
  <si>
    <t>Cada semana [Efectivo S/.]</t>
  </si>
  <si>
    <t>tperez@rcp.net.pe</t>
  </si>
  <si>
    <t>Tania Perez</t>
  </si>
  <si>
    <t>T.P.</t>
  </si>
  <si>
    <r>
      <t>Memorandum - Sem 08/2015</t>
    </r>
    <r>
      <rPr>
        <b/>
        <sz val="10"/>
        <rFont val="Courier Final Draft"/>
        <family val="3"/>
      </rPr>
      <t xml:space="preserve">   </t>
    </r>
    <r>
      <rPr>
        <sz val="10"/>
        <rFont val="Courier Final Draft"/>
        <family val="3"/>
      </rPr>
      <t>-   Fecha: 24/02/15    (Viaje Simple)</t>
    </r>
  </si>
  <si>
    <t>SRV-45C</t>
  </si>
  <si>
    <t>SR-471-98-3897</t>
  </si>
  <si>
    <t>Arturo</t>
  </si>
  <si>
    <t>Guantes de cuero , mascara de soldar , lentes para pintor</t>
  </si>
  <si>
    <t>CREDIBANK</t>
  </si>
  <si>
    <t>Esperanza Poma Flores [ANATEC] (epomaflores@hotmail.com)</t>
  </si>
  <si>
    <t>E.P.F.</t>
  </si>
  <si>
    <t> 150911608</t>
  </si>
  <si>
    <t> 8800    </t>
  </si>
  <si>
    <r>
      <t xml:space="preserve">Haberes  000560  C  S/.  191-0873085-0-39 - TRANSCOSTA S.A.  -  -  -  varios  S-35 </t>
    </r>
    <r>
      <rPr>
        <b/>
        <sz val="10"/>
        <color indexed="54"/>
        <rFont val="Arial"/>
        <family val="2"/>
      </rPr>
      <t xml:space="preserve"> S/.  1,581.13 </t>
    </r>
    <r>
      <rPr>
        <sz val="10"/>
        <color indexed="54"/>
        <rFont val="Arial"/>
        <family val="2"/>
      </rPr>
      <t xml:space="preserve"> 02/09/2011  </t>
    </r>
  </si>
  <si>
    <t>Maza</t>
  </si>
  <si>
    <t xml:space="preserve">Placa </t>
  </si>
  <si>
    <t> SRV-40-3-016</t>
  </si>
  <si>
    <t> 92</t>
  </si>
  <si>
    <t> ZG6763</t>
  </si>
  <si>
    <t> 150203045</t>
  </si>
  <si>
    <t>Cada Unidad tiene 01extinguidor, 01 botiquin, implementos de seguridad del vehiculo remolcador a cargo de chofer</t>
  </si>
  <si>
    <t>Fijo 577-7012 (Pampilla)_x000D_
Nextel 812*7184 / 429*7074._x000D_
Rpm #523442.</t>
  </si>
  <si>
    <t>Elizabeth</t>
  </si>
  <si>
    <t>QUISPE  LLAMO ULISES</t>
  </si>
  <si>
    <t xml:space="preserve">          Total general</t>
  </si>
  <si>
    <t>ZG-6937</t>
  </si>
  <si>
    <t>Item</t>
  </si>
  <si>
    <t xml:space="preserve">Nro. de </t>
  </si>
  <si>
    <t>Zacarias Felix H.</t>
  </si>
  <si>
    <t>08386422</t>
  </si>
  <si>
    <t>mqh10@hotmail.</t>
  </si>
  <si>
    <t>EGUSQUIZA LA TORRE DE BRICEÑO, DINA SOLEDAD</t>
  </si>
  <si>
    <t>Pintar en Uretano negro y plomo compuerta posterior</t>
  </si>
  <si>
    <t>ZG-8181</t>
  </si>
  <si>
    <t>ZG-7610</t>
  </si>
  <si>
    <t>7441940</t>
  </si>
  <si>
    <t>Razon Social</t>
  </si>
  <si>
    <t>58493-5485</t>
  </si>
  <si>
    <t>Aguilar</t>
  </si>
  <si>
    <t>Neon</t>
  </si>
  <si>
    <t>Samuel</t>
  </si>
  <si>
    <t>Aditivo para Radiador (galon)</t>
  </si>
  <si>
    <t>PEREA NOGUNI, JETSAUL JOSE</t>
  </si>
  <si>
    <t>YG-6123</t>
  </si>
  <si>
    <t>YG-6134</t>
  </si>
  <si>
    <t>YG-6035</t>
  </si>
  <si>
    <t>VESPA VERDE</t>
  </si>
  <si>
    <t>65668-9262</t>
  </si>
  <si>
    <t>65670-9263</t>
  </si>
  <si>
    <t>65671-9264</t>
  </si>
  <si>
    <t>65672-9265</t>
  </si>
  <si>
    <t>65673-9266</t>
  </si>
  <si>
    <t>65677-9267</t>
  </si>
  <si>
    <t>User takushi</t>
  </si>
  <si>
    <r>
      <t xml:space="preserve">Pasw </t>
    </r>
    <r>
      <rPr>
        <sz val="10"/>
        <color indexed="12"/>
        <rFont val="Arial"/>
        <family val="2"/>
      </rPr>
      <t>t4ku5h1</t>
    </r>
  </si>
  <si>
    <r>
      <t xml:space="preserve">WPs </t>
    </r>
    <r>
      <rPr>
        <sz val="10"/>
        <color indexed="12"/>
        <rFont val="Arial"/>
        <family val="2"/>
      </rPr>
      <t>t4ku5h1</t>
    </r>
  </si>
  <si>
    <t>cabhernbc@hotmail.com</t>
  </si>
  <si>
    <t> 69</t>
  </si>
  <si>
    <t> YG6385</t>
  </si>
  <si>
    <t>Cintas</t>
  </si>
  <si>
    <t>157  F4T-939</t>
  </si>
  <si>
    <t>159  F4T-840</t>
  </si>
  <si>
    <t>169  F4T-845</t>
  </si>
  <si>
    <t>207  D3H-977</t>
  </si>
  <si>
    <t>218  D3G-994</t>
  </si>
  <si>
    <t>0D36</t>
  </si>
  <si>
    <t> 1985</t>
  </si>
  <si>
    <t> 4082    </t>
  </si>
  <si>
    <t> 70</t>
  </si>
  <si>
    <t> YG6407</t>
  </si>
  <si>
    <t>332  D4I-992</t>
  </si>
  <si>
    <t>234  D4H-997</t>
  </si>
  <si>
    <t>170  F5T-772</t>
  </si>
  <si>
    <t>160  F5S-708</t>
  </si>
  <si>
    <t>158  F5T-773</t>
  </si>
  <si>
    <t>154  F8J-809</t>
  </si>
  <si>
    <t>217  D7A-999</t>
  </si>
  <si>
    <t>155  F8K-766</t>
  </si>
  <si>
    <t>315  D7C-970</t>
  </si>
  <si>
    <t>7.87 + 0.10</t>
  </si>
  <si>
    <t>Total 0D10</t>
  </si>
  <si>
    <t>Julio Cardeans S.</t>
  </si>
  <si>
    <t>191-18501033-0-11</t>
  </si>
  <si>
    <t>CALDINA 2.0 CZ</t>
  </si>
  <si>
    <t xml:space="preserve">Año : </t>
  </si>
  <si>
    <t>Placa :</t>
  </si>
  <si>
    <t>DESCRIPCION</t>
  </si>
  <si>
    <t>TPC - SAN AGUSTIN</t>
  </si>
  <si>
    <t>Union de Bronce</t>
  </si>
  <si>
    <t>Italo Cordano Cochella</t>
  </si>
  <si>
    <t>I.C.C.</t>
  </si>
  <si>
    <t> H-026</t>
  </si>
  <si>
    <t>Acto Medico</t>
  </si>
  <si>
    <t>pagodehaberes@bcp.com.pe</t>
  </si>
  <si>
    <t>GERENTE DE MARKETING</t>
  </si>
  <si>
    <t>TPC - QUIMPAC (doble)</t>
  </si>
  <si>
    <t>Julio Cardenas S.</t>
  </si>
  <si>
    <t>Total 1D91</t>
  </si>
  <si>
    <t>Total 1D90</t>
  </si>
  <si>
    <t>Total 1D86</t>
  </si>
  <si>
    <t>Total 1D70</t>
  </si>
  <si>
    <t>Alfredo Altamirano S.</t>
  </si>
  <si>
    <t>Javier Anquise C.</t>
  </si>
  <si>
    <t>Teofilo Cuadros N.</t>
  </si>
  <si>
    <t>Windows NT 3.51</t>
  </si>
  <si>
    <t>Windows 98</t>
  </si>
  <si>
    <t>Planchador</t>
  </si>
  <si>
    <t> 7800   </t>
  </si>
  <si>
    <t> 40000  </t>
  </si>
  <si>
    <t> 5630   </t>
  </si>
  <si>
    <t> 5640   </t>
  </si>
  <si>
    <t>Pintado de soportes de radiador y faros</t>
  </si>
  <si>
    <t>H.G.G.</t>
  </si>
  <si>
    <t>Bellido</t>
  </si>
  <si>
    <t>FORD VERDE</t>
  </si>
  <si>
    <t>NO-8296</t>
  </si>
  <si>
    <t>Galon</t>
  </si>
  <si>
    <t>165  F1R-851</t>
  </si>
  <si>
    <t>202  C9R-988</t>
  </si>
  <si>
    <t>214  C9R-987</t>
  </si>
  <si>
    <t>Categorías</t>
  </si>
  <si>
    <t>Confidencialidad</t>
  </si>
  <si>
    <t>EmailAddress</t>
  </si>
  <si>
    <t>Jorge L. Malaga B.</t>
  </si>
  <si>
    <t>Italo Cordano C.</t>
  </si>
  <si>
    <t>Alfredo Támara P.</t>
  </si>
  <si>
    <t>Cesar Quispe R.</t>
  </si>
  <si>
    <t>Por Cambio de Motor S/. 100.00= c/u</t>
  </si>
  <si>
    <t>45544488</t>
  </si>
  <si>
    <t> 1965</t>
  </si>
  <si>
    <t> 0   </t>
  </si>
  <si>
    <t> 8550    </t>
  </si>
  <si>
    <t>Neón Bobbio</t>
  </si>
  <si>
    <t>Walter Gaitan</t>
  </si>
  <si>
    <t>D. Ramos</t>
  </si>
  <si>
    <t>OP20</t>
  </si>
  <si>
    <t>41*343*3731</t>
  </si>
  <si>
    <t>F. Ortiz</t>
  </si>
  <si>
    <t>TPC-COGORNO</t>
  </si>
  <si>
    <t>JUAREZ POMA OCTAVIO</t>
  </si>
  <si>
    <t>CORDANO COCHELLA ITALO VITTORIO</t>
  </si>
  <si>
    <t> 150912475</t>
  </si>
  <si>
    <t> 150913207</t>
  </si>
  <si>
    <t> 9220    </t>
  </si>
  <si>
    <t> 150911612</t>
  </si>
  <si>
    <t> 150912474</t>
  </si>
  <si>
    <t>servicios@transcosta.com.pe</t>
  </si>
  <si>
    <t> 9840    </t>
  </si>
  <si>
    <t xml:space="preserve"> Pintura y planchado de filtro </t>
  </si>
  <si>
    <t>leo_sc69@hotmail.com</t>
  </si>
  <si>
    <t>I2523-8523247</t>
  </si>
  <si>
    <t>TPC- RANSA</t>
  </si>
  <si>
    <t>ASMAT SIGUEÑAS JUAN CARLOS</t>
  </si>
  <si>
    <t>E</t>
  </si>
  <si>
    <t>mi direccion es jr. Pira 559 urb. Parque Naranjal  -Los Olivos  altura del ovalo naranjal     panam. norte</t>
  </si>
  <si>
    <t>Antonio</t>
  </si>
  <si>
    <t xml:space="preserve">Malaga </t>
  </si>
  <si>
    <t>Conos de Bronce</t>
  </si>
  <si>
    <t>Topes de Bronce</t>
  </si>
  <si>
    <t>Sistemas Operativos Actuales - Licenciados</t>
  </si>
  <si>
    <t>116021-5349508</t>
  </si>
  <si>
    <t>1P53</t>
  </si>
  <si>
    <t>115969-2575830</t>
  </si>
  <si>
    <t>115987-2554647</t>
  </si>
  <si>
    <t>116004-2656977</t>
  </si>
  <si>
    <t xml:space="preserve">   ( KyB Japan)</t>
  </si>
  <si>
    <t>Llave maestra de luces delanteras y direccionales</t>
  </si>
  <si>
    <t>K-301-295-3</t>
  </si>
  <si>
    <t>salzamora@renova.com.pe</t>
  </si>
  <si>
    <t>servosashell.javiermendez@gmail.com</t>
  </si>
  <si>
    <t> 9590    </t>
  </si>
  <si>
    <t> 150913204</t>
  </si>
  <si>
    <t> 150911613</t>
  </si>
  <si>
    <t> 9870    </t>
  </si>
  <si>
    <r>
      <t xml:space="preserve">A cuentas de terceros BCP   C  S/.  193-1760052-0-02 - TRANSPORTE COMERCIAL Y SEGURO TAKUSHI S.  A  S/.  193-15953327-0-70  TAMARA PEDREROS ALFONSO ALFREDO  REINTEGRO TALLER  </t>
    </r>
    <r>
      <rPr>
        <b/>
        <sz val="10"/>
        <rFont val="Arial"/>
        <family val="2"/>
      </rPr>
      <t xml:space="preserve">S/.  167.50   </t>
    </r>
    <r>
      <rPr>
        <sz val="10"/>
        <rFont val="Arial"/>
        <family val="2"/>
      </rPr>
      <t xml:space="preserve">Parcialmente firmada  </t>
    </r>
  </si>
  <si>
    <t>*130</t>
  </si>
  <si>
    <t> SRV-40-3-008</t>
  </si>
  <si>
    <t>61346-5594</t>
  </si>
  <si>
    <t>61351-5595</t>
  </si>
  <si>
    <t>1P28</t>
  </si>
  <si>
    <t>61360-5596</t>
  </si>
  <si>
    <t>Serrano</t>
  </si>
  <si>
    <t>M.S.</t>
  </si>
  <si>
    <t>encuesta@mintra.gob.pe</t>
  </si>
  <si>
    <t>SILENCIADOR DE 5" salida</t>
  </si>
  <si>
    <t>YG-1396</t>
  </si>
  <si>
    <t>YG-1360</t>
  </si>
  <si>
    <t>YG-1345</t>
  </si>
  <si>
    <t>59032-5514</t>
  </si>
  <si>
    <t>59010-5497</t>
  </si>
  <si>
    <t>59025-5507</t>
  </si>
  <si>
    <t>59030-5512</t>
  </si>
  <si>
    <t>Pacotaype</t>
  </si>
  <si>
    <t>Nuñez</t>
  </si>
  <si>
    <t>Manrique</t>
  </si>
  <si>
    <t>DIQPF-PRODUCE</t>
  </si>
  <si>
    <t>Radio/Telef</t>
  </si>
  <si>
    <t>ZG-6706</t>
  </si>
  <si>
    <t>ZG-6763</t>
  </si>
  <si>
    <t>Total 1P30 Dennis Ramos M.</t>
  </si>
  <si>
    <t>IMPRESA Depositado / sin firmar</t>
  </si>
  <si>
    <t>Abr</t>
  </si>
  <si>
    <t>D-01A Suarez</t>
  </si>
  <si>
    <t>recubierto hombros  y contorno de cuello</t>
  </si>
  <si>
    <t xml:space="preserve">1 ALFONSO ALFREDO TAMARA PEDREROS DNI: 09061729  A S/. 193-15953327-0-70 S/. 650.00 15092011 A CTA 15092011 A CTA </t>
  </si>
  <si>
    <t>Henry Arakaki</t>
  </si>
  <si>
    <t>H.A.</t>
  </si>
  <si>
    <t>Kochi</t>
  </si>
  <si>
    <t>jokochi@hotmail.com</t>
  </si>
  <si>
    <t>Jenny Oshiro Kochi</t>
  </si>
  <si>
    <t>J.O.K.</t>
  </si>
  <si>
    <t>N3 / REMOLCADOR</t>
  </si>
  <si>
    <t>F4T-840</t>
  </si>
  <si>
    <t>F3Q-893</t>
  </si>
  <si>
    <t>F0D-935</t>
  </si>
  <si>
    <t>F4T-845</t>
  </si>
  <si>
    <t>F1R-851</t>
  </si>
  <si>
    <t>Emilio</t>
  </si>
  <si>
    <t>Segura</t>
  </si>
  <si>
    <r>
      <t>Dias</t>
    </r>
    <r>
      <rPr>
        <b/>
        <sz val="7.5"/>
        <rFont val="Arial"/>
        <family val="2"/>
      </rPr>
      <t xml:space="preserve"> </t>
    </r>
    <r>
      <rPr>
        <sz val="7.5"/>
        <color indexed="10"/>
        <rFont val="Arial"/>
        <family val="2"/>
      </rPr>
      <t>para vencimiento</t>
    </r>
  </si>
  <si>
    <t>NicolasB</t>
  </si>
  <si>
    <t>UbelserM</t>
  </si>
  <si>
    <t>Inspección</t>
  </si>
  <si>
    <t>Alonso</t>
  </si>
  <si>
    <t>Contabilidad</t>
  </si>
  <si>
    <t>F7O -854</t>
  </si>
  <si>
    <t>Categoria / Clase</t>
  </si>
  <si>
    <t>0059365-1850324</t>
  </si>
  <si>
    <t>0254481-7036837</t>
  </si>
  <si>
    <t>0254479-4620932</t>
  </si>
  <si>
    <t>Silvia Bekich de Malaga (silviabekich@gmail.com)</t>
  </si>
  <si>
    <t>S.B.d.M.</t>
  </si>
  <si>
    <t>- Mario Rivas</t>
  </si>
  <si>
    <t>Ravelo</t>
  </si>
  <si>
    <t> 150202999</t>
  </si>
  <si>
    <t> 113922</t>
  </si>
  <si>
    <t>ALAYO CORTEZ DUBER DONALDO</t>
  </si>
  <si>
    <t>ENLLANTADOR</t>
  </si>
  <si>
    <t>Movistar 28-09-15 12:30</t>
  </si>
  <si>
    <t>MV02</t>
  </si>
  <si>
    <t>41*343*3669</t>
  </si>
  <si>
    <t>W. Soto</t>
  </si>
  <si>
    <t>OP18</t>
  </si>
  <si>
    <t>41*343*3708</t>
  </si>
  <si>
    <t>D5G-992</t>
  </si>
  <si>
    <t>118  YG-1334</t>
  </si>
  <si>
    <t>120  YG-1378</t>
  </si>
  <si>
    <t>121  YG-1442</t>
  </si>
  <si>
    <t>122  C3D-881</t>
  </si>
  <si>
    <t>17908952</t>
  </si>
  <si>
    <t>FIAT - BERLINA</t>
  </si>
  <si>
    <t>11314556   a 1 Pasajero</t>
  </si>
  <si>
    <t>ahora yo trabajo contraentrega le entrego el producto y ud. me cancela</t>
  </si>
  <si>
    <t>modelo topy top</t>
  </si>
  <si>
    <t>manga corta</t>
  </si>
  <si>
    <t>remalle  con puntada de seguridad</t>
  </si>
  <si>
    <r>
      <t xml:space="preserve">T6N-864 </t>
    </r>
    <r>
      <rPr>
        <sz val="7"/>
        <rFont val="Lucida Fax"/>
        <family val="1"/>
      </rPr>
      <t>PD-2298</t>
    </r>
  </si>
  <si>
    <t>Banco</t>
  </si>
  <si>
    <t>12 MESES</t>
  </si>
  <si>
    <t>360 DIAS</t>
  </si>
  <si>
    <t>Usuario1</t>
  </si>
  <si>
    <t>Usuario2</t>
  </si>
  <si>
    <t>Ahora de acuerdo a esa informacion ud. saque su conclusion</t>
  </si>
  <si>
    <t xml:space="preserve">       Jornaleros</t>
  </si>
  <si>
    <t>Lucana</t>
  </si>
  <si>
    <t>Paucar</t>
  </si>
  <si>
    <t>Manuel</t>
  </si>
  <si>
    <t> 150202983</t>
  </si>
  <si>
    <t> 101121</t>
  </si>
  <si>
    <t>mlw325@juno.com</t>
  </si>
  <si>
    <t>vwashburn@verizon.net</t>
  </si>
  <si>
    <t>Calledeltrabajo2</t>
  </si>
  <si>
    <t>Calledeltrabajo3</t>
  </si>
  <si>
    <t>6157-2229</t>
  </si>
  <si>
    <t>1P21</t>
  </si>
  <si>
    <t>6159-2230</t>
  </si>
  <si>
    <t>Alfredo</t>
  </si>
  <si>
    <t>Comunicaciones</t>
  </si>
  <si>
    <t>Nota:</t>
  </si>
  <si>
    <t xml:space="preserve">Raul Yjuma Pizango </t>
  </si>
  <si>
    <t>Trome</t>
  </si>
  <si>
    <t>Solo Chasis</t>
  </si>
  <si>
    <t>01computadora, escritorio,03 mesas de trabajo, 01 cargador de baterias, 01comprobador de motor, cajas de rep_usados, baterias y herramientas</t>
  </si>
  <si>
    <t> 32</t>
  </si>
  <si>
    <t>225  D3H-976</t>
  </si>
  <si>
    <t>002108</t>
  </si>
  <si>
    <t>Neon Bobbio</t>
  </si>
  <si>
    <t> 88</t>
  </si>
  <si>
    <t> ZG6710</t>
  </si>
  <si>
    <t> SRV403008</t>
  </si>
  <si>
    <t>CarPhone</t>
  </si>
  <si>
    <t>Año Fabr</t>
  </si>
  <si>
    <t>Nro. Interno</t>
  </si>
  <si>
    <t> YG6162</t>
  </si>
  <si>
    <t>27904592</t>
  </si>
  <si>
    <t>2 FORD Verde F-100</t>
  </si>
  <si>
    <t>D3V-208</t>
  </si>
  <si>
    <t>1 HYUNDAI NegroSanta Fe</t>
  </si>
  <si>
    <t>1 HYUNDAI AzulSanta Fe</t>
  </si>
  <si>
    <t>11 MESES</t>
  </si>
  <si>
    <t>Juan  Bekich Veselichich</t>
  </si>
  <si>
    <t>J.B.V.</t>
  </si>
  <si>
    <t xml:space="preserve"> Dominio  llacocche.com.pe</t>
  </si>
  <si>
    <t xml:space="preserve"> Dominio  transcosta.com.pe</t>
  </si>
  <si>
    <t>01 tecle 05tns. Con base completo, rep_usados de suspension, 03 cuartos con anaqueles de rep_usados.</t>
  </si>
  <si>
    <t> H-030</t>
  </si>
  <si>
    <t> 5650    </t>
  </si>
  <si>
    <t>1D55</t>
  </si>
  <si>
    <t>M a n t e n i m i e n t o</t>
  </si>
  <si>
    <t>Dias</t>
  </si>
  <si>
    <t>58382-5430</t>
  </si>
  <si>
    <t>58429-5453</t>
  </si>
  <si>
    <t>Nro. Serie</t>
  </si>
  <si>
    <r>
      <t xml:space="preserve">DNI </t>
    </r>
    <r>
      <rPr>
        <sz val="10"/>
        <rFont val="Arial"/>
        <family val="2"/>
      </rPr>
      <t>de representante(s)</t>
    </r>
  </si>
  <si>
    <r>
      <t xml:space="preserve">SOAT </t>
    </r>
    <r>
      <rPr>
        <sz val="10"/>
        <rFont val="Arial"/>
        <family val="2"/>
      </rPr>
      <t>vigente</t>
    </r>
  </si>
  <si>
    <t> 150203044</t>
  </si>
  <si>
    <t>01 Equipo de aire acondicionado</t>
  </si>
  <si>
    <t>Jorge Eduardo Malaga Cocchella             DNI 06581811</t>
  </si>
  <si>
    <t>I.D.D.</t>
  </si>
  <si>
    <t>72 / W-924 /123938</t>
  </si>
  <si>
    <t>TOTAL GENERAL</t>
  </si>
  <si>
    <t>Total 0D50 Armando Junco V.</t>
  </si>
  <si>
    <t>Nextel: 813*9560</t>
  </si>
  <si>
    <t>emendoza@lubricantespremium.com</t>
  </si>
  <si>
    <t>E.M.</t>
  </si>
  <si>
    <t>HILDA</t>
  </si>
  <si>
    <t>GONGORA</t>
  </si>
  <si>
    <t>GOMEZ</t>
  </si>
  <si>
    <t>988-071-585</t>
  </si>
  <si>
    <t>Pintar en Uretano negro y plomo panel posterior</t>
  </si>
  <si>
    <t>Software de Desarrollo</t>
  </si>
  <si>
    <t>Antonio Rodriguez M</t>
  </si>
  <si>
    <t>191-18944575-0-32</t>
  </si>
  <si>
    <t>Cadillo</t>
  </si>
  <si>
    <t>William Soto T.</t>
  </si>
  <si>
    <t>J.C.T.</t>
  </si>
  <si>
    <t xml:space="preserve"> 241-0413</t>
  </si>
  <si>
    <t>GovernmentIDNumber</t>
  </si>
  <si>
    <t>Hijos</t>
  </si>
  <si>
    <t>EN LARGUEROS</t>
  </si>
  <si>
    <t>Cochella</t>
  </si>
  <si>
    <t>36729-4491</t>
  </si>
  <si>
    <t>116006-2040551</t>
  </si>
  <si>
    <t>11ZUBLGD21SFA</t>
  </si>
  <si>
    <t>UBGD21-402378</t>
  </si>
  <si>
    <t>W-924</t>
  </si>
  <si>
    <t>pejmb@ambev.com.pe</t>
  </si>
  <si>
    <t>Jorge Luis Malaga</t>
  </si>
  <si>
    <t>CHILON CHUMPITAZ EMILIO</t>
  </si>
  <si>
    <t>ELECTRICISTA</t>
  </si>
  <si>
    <t>45388319</t>
  </si>
  <si>
    <t>AUX ALMACEN</t>
  </si>
  <si>
    <t>Villanueva</t>
  </si>
  <si>
    <t>Alejandrino</t>
  </si>
  <si>
    <t>2008-448002</t>
  </si>
  <si>
    <t>Transcosta</t>
  </si>
  <si>
    <t>RCP</t>
  </si>
  <si>
    <t>CHOFER DESTAJERO</t>
  </si>
  <si>
    <t>18177041</t>
  </si>
  <si>
    <t> 9990    </t>
  </si>
  <si>
    <t> 150911619</t>
  </si>
  <si>
    <t> 9560    </t>
  </si>
  <si>
    <t>123  F6P-936</t>
  </si>
  <si>
    <t>124  F6Q-801</t>
  </si>
  <si>
    <t>152  F6P-935</t>
  </si>
  <si>
    <t>161  F6Q-807</t>
  </si>
  <si>
    <t>209  D5F-997</t>
  </si>
  <si>
    <t>235  D5G-992</t>
  </si>
  <si>
    <t>Aux. Almacen</t>
  </si>
  <si>
    <t>Aux. Operac.</t>
  </si>
  <si>
    <t>Llantas</t>
  </si>
  <si>
    <t>Suspension</t>
  </si>
  <si>
    <t>YG-1461</t>
  </si>
  <si>
    <t>105  F6Q-803</t>
  </si>
  <si>
    <t>116  F6P-937</t>
  </si>
  <si>
    <t>119  F6Q-802</t>
  </si>
  <si>
    <t> 8000    </t>
  </si>
  <si>
    <t> 11</t>
  </si>
  <si>
    <t> ZG7610</t>
  </si>
  <si>
    <t> 150203022</t>
  </si>
  <si>
    <t> FWD-750206</t>
  </si>
  <si>
    <t>Base Uretano  (KIT)</t>
  </si>
  <si>
    <t>Semanas</t>
  </si>
  <si>
    <t>Monto</t>
  </si>
  <si>
    <t>Acumulado</t>
  </si>
  <si>
    <t>59015-5500</t>
  </si>
  <si>
    <t>Copias de Tarjetas de propiedad a nombre de la empresa</t>
  </si>
  <si>
    <t>Ruta</t>
  </si>
  <si>
    <t>0074456-1636296</t>
  </si>
  <si>
    <t>1D28</t>
  </si>
  <si>
    <r>
      <t xml:space="preserve">A cuentas de terceros BCP   C  S/.  193-1760052-0-02 - TRANSPORTE COMERCIAL Y SEGURO TAKUSHI S.  A  S/.  193-15953327-0-70  </t>
    </r>
    <r>
      <rPr>
        <b/>
        <sz val="10"/>
        <rFont val="Arial"/>
        <family val="2"/>
      </rPr>
      <t>TAMARA PEDREROS ALFONSO ALFREDO</t>
    </r>
    <r>
      <rPr>
        <sz val="10"/>
        <rFont val="Arial"/>
        <family val="2"/>
      </rPr>
      <t xml:space="preserve">  REINTEGRO TALLER  </t>
    </r>
    <r>
      <rPr>
        <b/>
        <sz val="10"/>
        <rFont val="Arial"/>
        <family val="2"/>
      </rPr>
      <t xml:space="preserve">S/.  583.37 </t>
    </r>
    <r>
      <rPr>
        <sz val="10"/>
        <rFont val="Arial"/>
        <family val="2"/>
      </rPr>
      <t xml:space="preserve">  Parcialmente firmada  </t>
    </r>
  </si>
  <si>
    <t>746629-7000870</t>
  </si>
  <si>
    <t>286409-1141049</t>
  </si>
  <si>
    <t>TPC – NEPTUNIA</t>
  </si>
  <si>
    <t>039449-7183175</t>
  </si>
  <si>
    <t>Nov</t>
  </si>
  <si>
    <t>Dic</t>
  </si>
  <si>
    <t> 6500    </t>
  </si>
  <si>
    <t> 50</t>
  </si>
  <si>
    <t> YG6033</t>
  </si>
  <si>
    <t> 150202995</t>
  </si>
  <si>
    <t> 123940</t>
  </si>
  <si>
    <t> 1972</t>
  </si>
  <si>
    <t> 11000    </t>
  </si>
  <si>
    <t> 51</t>
  </si>
  <si>
    <t>150911613 / 51742-A</t>
  </si>
  <si>
    <t>150913204 / 53033-A</t>
  </si>
  <si>
    <t>[Lub.Premium]</t>
  </si>
  <si>
    <t>Puerto POP3: 995</t>
  </si>
  <si>
    <t>Servidor de correo saliente:</t>
  </si>
  <si>
    <t>Puesto</t>
  </si>
  <si>
    <t> 10</t>
  </si>
  <si>
    <t>E/S MONTERRICO GNV-GLP</t>
  </si>
  <si>
    <t>1019618-0595970</t>
  </si>
  <si>
    <t>JEFE DE MANTENIMIENTO</t>
  </si>
  <si>
    <t>07270979</t>
  </si>
  <si>
    <t>Fax. 577-7196.</t>
  </si>
  <si>
    <t>MITSUI</t>
  </si>
  <si>
    <t>harakaki@toyotaperu.com.pe</t>
  </si>
  <si>
    <t>dacuario@speedy.com.pe</t>
  </si>
  <si>
    <t>TOTAL</t>
  </si>
  <si>
    <t xml:space="preserve">Maria del Carmen Zevallos Morales </t>
  </si>
  <si>
    <t>40300585</t>
  </si>
  <si>
    <t>06581811</t>
  </si>
  <si>
    <t>Jose Linares Silva</t>
  </si>
  <si>
    <t>Tipo</t>
  </si>
  <si>
    <t>0087869-4961485</t>
  </si>
  <si>
    <t>014679</t>
  </si>
  <si>
    <t>Copia de la Constitucion de la empresa</t>
  </si>
  <si>
    <t>Huaraqui</t>
  </si>
  <si>
    <t>58476-5475</t>
  </si>
  <si>
    <t>58458-5466</t>
  </si>
  <si>
    <t>58428-5452</t>
  </si>
  <si>
    <t>58442-5457</t>
  </si>
  <si>
    <t>58463-5469</t>
  </si>
  <si>
    <t>58376-5428</t>
  </si>
  <si>
    <t>Ceq</t>
  </si>
  <si>
    <t>Cntr</t>
  </si>
  <si>
    <t>SRV-30-3-247</t>
  </si>
  <si>
    <t>6224-2274</t>
  </si>
  <si>
    <t>6227-2275</t>
  </si>
  <si>
    <t>6230-2276</t>
  </si>
  <si>
    <t>6233-2277</t>
  </si>
  <si>
    <t>Title</t>
  </si>
  <si>
    <t>Segundonombre</t>
  </si>
  <si>
    <t>Walter Vallejos Silva</t>
  </si>
  <si>
    <t>J.Y.</t>
  </si>
  <si>
    <t>UNT-PERU</t>
  </si>
  <si>
    <t>Carga Util</t>
  </si>
  <si>
    <t>Alto</t>
  </si>
  <si>
    <t>Ancho</t>
  </si>
  <si>
    <t>T_Carta</t>
  </si>
  <si>
    <t>Motores y repuestos usados, moldes grandes p fibra de vidrio, anaquel y mesa de trabajo banco de montaje y herramientas.</t>
  </si>
  <si>
    <t> 150202986</t>
  </si>
  <si>
    <t>6161-2232</t>
  </si>
  <si>
    <t>0D40</t>
  </si>
  <si>
    <t>0254485-6436349</t>
  </si>
  <si>
    <t>02 derechos BN Lic. Armas</t>
  </si>
  <si>
    <t>Insoft Premium (Cont,Ban,Inv,Com,Pla)</t>
  </si>
  <si>
    <t>COCCHELLA GARCIA VDA DE MALAGA ALEJANDRINA ISABEL - 3415/70D</t>
  </si>
  <si>
    <t> 1523969CNG  - TRANSPORTE COMERCIAL Y SEGURO TAKUSHI S.A.C.</t>
  </si>
  <si>
    <t>039449-6763672</t>
  </si>
  <si>
    <t>110324-0382139</t>
  </si>
  <si>
    <t>110312-0400894</t>
  </si>
  <si>
    <t>039449-1451814</t>
  </si>
  <si>
    <t>286438-0138342</t>
  </si>
  <si>
    <t>Pendiente de tramitar tarjeta de circulacion - MTC</t>
  </si>
  <si>
    <t>Ubelser</t>
  </si>
  <si>
    <t>Sagardia</t>
  </si>
  <si>
    <t>Marquina</t>
  </si>
  <si>
    <t>Juan</t>
  </si>
  <si>
    <t>Vilcapoma</t>
  </si>
  <si>
    <t>Efectivo de CAJA</t>
  </si>
  <si>
    <t>58418-5446</t>
  </si>
  <si>
    <t>Tipodecorreoelectrónico2</t>
  </si>
  <si>
    <t>A N E X O</t>
  </si>
  <si>
    <t xml:space="preserve"> Plataforma [3491]</t>
  </si>
  <si>
    <t xml:space="preserve"> Tolva [216]</t>
  </si>
  <si>
    <t xml:space="preserve"> Remolcador [R-122]</t>
  </si>
  <si>
    <t>Pintura Sintetico PLOMO</t>
  </si>
  <si>
    <t>Teléfonoprincipal</t>
  </si>
  <si>
    <t>CASTAÑEDA TANTALEAN JOSE MANUEL</t>
  </si>
  <si>
    <t>09903752</t>
  </si>
  <si>
    <t>YG-6127</t>
  </si>
  <si>
    <t>val_cuota</t>
  </si>
  <si>
    <t>Foxpro-DOS, Visual Foxpro (Mant,Liq,Gui,Cntr,etc)</t>
  </si>
  <si>
    <t>Jose.Meseguer</t>
  </si>
  <si>
    <t>RODOLFO</t>
  </si>
  <si>
    <t>CANO</t>
  </si>
  <si>
    <t>45259265</t>
  </si>
  <si>
    <t>43058439</t>
  </si>
  <si>
    <t>GAITAN CALIXTO WALTER FREDY</t>
  </si>
  <si>
    <t>42914139</t>
  </si>
  <si>
    <t>Aviso: Fred T (Acc R-165)</t>
  </si>
  <si>
    <t> 150203025</t>
  </si>
  <si>
    <t> H015</t>
  </si>
  <si>
    <t> 1980</t>
  </si>
  <si>
    <t> 28200   </t>
  </si>
  <si>
    <t>cesarq_98@hotmail.</t>
  </si>
  <si>
    <t>Total 1D47</t>
  </si>
  <si>
    <t>59019-5503</t>
  </si>
  <si>
    <t>59007-5494</t>
  </si>
  <si>
    <t>Relación para Incremento de Unidades :</t>
  </si>
  <si>
    <t>Nº Interno</t>
  </si>
  <si>
    <t>AP-7178</t>
  </si>
  <si>
    <t>14/08/08 Ok ORLC</t>
  </si>
  <si>
    <t>S.P.</t>
  </si>
  <si>
    <t>Nicolás</t>
  </si>
  <si>
    <t>995125381</t>
  </si>
  <si>
    <t>988071585</t>
  </si>
  <si>
    <t>15 dias</t>
  </si>
  <si>
    <t>ZG-3486</t>
  </si>
  <si>
    <t>Edad</t>
  </si>
  <si>
    <t>wxp sp3 es</t>
  </si>
  <si>
    <t>Guerra</t>
  </si>
  <si>
    <t>David</t>
  </si>
  <si>
    <t>357  D7Z-995</t>
  </si>
  <si>
    <t>339  D6E-994</t>
  </si>
  <si>
    <t> 60</t>
  </si>
  <si>
    <t> YG6129</t>
  </si>
  <si>
    <t> 150203005</t>
  </si>
  <si>
    <r>
      <t>971</t>
    </r>
    <r>
      <rPr>
        <b/>
        <sz val="9"/>
        <color indexed="10"/>
        <rFont val="Arial"/>
        <family val="2"/>
      </rPr>
      <t>-</t>
    </r>
    <r>
      <rPr>
        <sz val="9"/>
        <color indexed="12"/>
        <rFont val="Arial"/>
        <family val="2"/>
      </rPr>
      <t>070</t>
    </r>
    <r>
      <rPr>
        <b/>
        <sz val="9"/>
        <color indexed="10"/>
        <rFont val="Arial"/>
        <family val="2"/>
      </rPr>
      <t>-</t>
    </r>
    <r>
      <rPr>
        <sz val="9"/>
        <color indexed="12"/>
        <rFont val="Arial"/>
        <family val="2"/>
      </rPr>
      <t>138</t>
    </r>
  </si>
  <si>
    <t> 150912473</t>
  </si>
  <si>
    <t> 14</t>
  </si>
  <si>
    <t>Indumentaria</t>
  </si>
  <si>
    <t>41071989</t>
  </si>
  <si>
    <t>PECSA Tr - Aquiles Figueroa (afigueroa@pecsa.com.pe)</t>
  </si>
  <si>
    <t>Promedio de Remuneraciones de Mariano Asmat Centeno - Año 2006</t>
  </si>
  <si>
    <t>Cod</t>
  </si>
  <si>
    <t>Flor</t>
  </si>
  <si>
    <t>Rovai</t>
  </si>
  <si>
    <t> 150911615</t>
  </si>
  <si>
    <t>PORTAL WEB DE PRIMAX</t>
  </si>
  <si>
    <t>CANO PADILLA ALEJANDRO ROGER</t>
  </si>
  <si>
    <t>Movistar 23-07-15 08:50</t>
  </si>
  <si>
    <t>Inicio 17/07/15</t>
  </si>
  <si>
    <t>C</t>
  </si>
  <si>
    <t>Miguel Gabriel Rafael</t>
  </si>
  <si>
    <t>Auxiliar Mecanico</t>
  </si>
  <si>
    <t xml:space="preserve">Gerencia Administracion </t>
  </si>
  <si>
    <t>MONTO</t>
  </si>
  <si>
    <r>
      <t xml:space="preserve">233  </t>
    </r>
    <r>
      <rPr>
        <sz val="9"/>
        <rFont val="Arial"/>
        <family val="2"/>
      </rPr>
      <t>ZG-9568</t>
    </r>
  </si>
  <si>
    <r>
      <t xml:space="preserve">204  </t>
    </r>
    <r>
      <rPr>
        <sz val="9"/>
        <color indexed="10"/>
        <rFont val="Arial"/>
        <family val="2"/>
      </rPr>
      <t>ZG-6712</t>
    </r>
  </si>
  <si>
    <r>
      <t xml:space="preserve">226  </t>
    </r>
    <r>
      <rPr>
        <sz val="9"/>
        <rFont val="Arial"/>
        <family val="2"/>
      </rPr>
      <t>ZG-8181</t>
    </r>
  </si>
  <si>
    <r>
      <t xml:space="preserve">234  </t>
    </r>
    <r>
      <rPr>
        <sz val="9"/>
        <rFont val="Arial"/>
        <family val="2"/>
      </rPr>
      <t>ZI-1274</t>
    </r>
  </si>
  <si>
    <t>Inspeccion</t>
  </si>
  <si>
    <t>Vehicular</t>
  </si>
  <si>
    <t>irinamalaga@gmail.com</t>
  </si>
  <si>
    <t>Irina Malaga</t>
  </si>
  <si>
    <t>I.M.</t>
  </si>
  <si>
    <r>
      <t xml:space="preserve">                     INSPECCION DE REMOLCADORES TRANSCOSTA S.A.C.   </t>
    </r>
    <r>
      <rPr>
        <sz val="10"/>
        <rFont val="Arial"/>
        <family val="2"/>
      </rPr>
      <t>(de Junio a Agosto 2008 OVP)</t>
    </r>
  </si>
  <si>
    <t> 150203001</t>
  </si>
  <si>
    <t>Particulares para transporte de personas de hasta nueve asientos incluido el del conductor de la Categoría M1</t>
  </si>
  <si>
    <t>Anual</t>
  </si>
  <si>
    <t>Teran</t>
  </si>
  <si>
    <t>Guía</t>
  </si>
  <si>
    <t>Chof</t>
  </si>
  <si>
    <t>Unidad</t>
  </si>
  <si>
    <t># ejes</t>
  </si>
  <si>
    <t>Contenido</t>
  </si>
  <si>
    <t>CANCHAHUAMAN RIVEROS JUAN CARLOS</t>
  </si>
  <si>
    <t>09044728</t>
  </si>
  <si>
    <t>ZG-7863</t>
  </si>
  <si>
    <t> YG1368</t>
  </si>
  <si>
    <t>jorgez</t>
  </si>
  <si>
    <t>Códigopostaldeltrabajo</t>
  </si>
  <si>
    <t>Ambiente</t>
  </si>
  <si>
    <t>Taller</t>
  </si>
  <si>
    <t>966 978 363</t>
  </si>
  <si>
    <t>949 318 594</t>
  </si>
  <si>
    <t>Raúl Yong López</t>
  </si>
  <si>
    <t>718481-7844090</t>
  </si>
  <si>
    <t>718556-7856001</t>
  </si>
  <si>
    <t>J. C. Asmat</t>
  </si>
  <si>
    <t>Gueiby Yulema Vargas Cordova</t>
  </si>
  <si>
    <t>43981188</t>
  </si>
  <si>
    <t>Patricia Linares Tapia</t>
  </si>
  <si>
    <t>ANCHO</t>
  </si>
  <si>
    <t>GO-3953</t>
  </si>
  <si>
    <t>Direccióndelcorreoelectrónico3</t>
  </si>
  <si>
    <t>Tipodecorreoelectrónico3</t>
  </si>
  <si>
    <t>RUC 20492292592</t>
  </si>
  <si>
    <t> ZG3489</t>
  </si>
  <si>
    <t>se entrega polo limpio</t>
  </si>
  <si>
    <t xml:space="preserve">Haberes  000564  C  S/.  191-0873085-0-39 - TRANSCOSTA S.A.  -  -  -  varios  S-37  S/.  1,412.77  16/09/2011  Pendiente de firma  </t>
  </si>
  <si>
    <t> 150203071</t>
  </si>
  <si>
    <t>Unidad transformada Porta-Contenedor (Falta ORLC)</t>
  </si>
  <si>
    <t xml:space="preserve"> R-165 [YG-6130]</t>
  </si>
  <si>
    <t>Patricia</t>
  </si>
  <si>
    <t>- SPERU</t>
  </si>
  <si>
    <t>0080761-9021607</t>
  </si>
  <si>
    <t>0080753-3278698</t>
  </si>
  <si>
    <t>E/S AREQUIPA GLP</t>
  </si>
  <si>
    <t>Av. Arequipa 3325</t>
  </si>
  <si>
    <t>Av. Augusto Perez Aranibar 2199</t>
  </si>
  <si>
    <t>ZI-1241</t>
  </si>
  <si>
    <t>MMRR00599</t>
  </si>
  <si>
    <t>ZG-6930</t>
  </si>
  <si>
    <t>018824-4101968</t>
  </si>
  <si>
    <t>905899-5103710</t>
  </si>
  <si>
    <t>126579-8254240</t>
  </si>
  <si>
    <t>291211-1930186</t>
  </si>
  <si>
    <t>TPC - NEPTUNIA</t>
  </si>
  <si>
    <r>
      <t xml:space="preserve">502  </t>
    </r>
    <r>
      <rPr>
        <sz val="9"/>
        <rFont val="Arial"/>
        <family val="2"/>
      </rPr>
      <t>ZG-1401</t>
    </r>
  </si>
  <si>
    <t> 20100019354</t>
  </si>
  <si>
    <t>Dirección</t>
  </si>
  <si>
    <t>10792184</t>
  </si>
  <si>
    <t>FORD Verde F-100</t>
  </si>
  <si>
    <t>[Lima Caucho]</t>
  </si>
  <si>
    <t> 150203038</t>
  </si>
  <si>
    <t>Callao - Bocanegra</t>
  </si>
  <si>
    <t>LIBRE,  las bocamazas de los ejes son distitintas a las que usamos</t>
  </si>
  <si>
    <t>ZG-1462</t>
  </si>
  <si>
    <t> ZG8712</t>
  </si>
  <si>
    <t xml:space="preserve">Jorge Malaga </t>
  </si>
  <si>
    <t>Pintura Vencelatex lavable BLANCO HUMO</t>
  </si>
  <si>
    <t>Actual</t>
  </si>
  <si>
    <t>02 ejes</t>
  </si>
  <si>
    <t>SKU 70882</t>
  </si>
  <si>
    <t>Eduardo Hernandez BCP</t>
  </si>
  <si>
    <t>E.H.B.</t>
  </si>
  <si>
    <t>1XKED29X6FJ364257</t>
  </si>
  <si>
    <t>Computadora</t>
  </si>
  <si>
    <t>'Juvenal Luna'</t>
  </si>
  <si>
    <t>TC03</t>
  </si>
  <si>
    <t>TC04</t>
  </si>
  <si>
    <t>TC05</t>
  </si>
  <si>
    <t>TC06</t>
  </si>
  <si>
    <t>TC07</t>
  </si>
  <si>
    <t>TC08</t>
  </si>
  <si>
    <t>OT</t>
  </si>
  <si>
    <t>SEVILLANO VARA AMERICO</t>
  </si>
  <si>
    <t>ASMAT CENTENO MARIANO</t>
  </si>
  <si>
    <t>juansenosain1@terra.com.pe</t>
  </si>
  <si>
    <t>Juan Senosain</t>
  </si>
  <si>
    <t> 150915172</t>
  </si>
  <si>
    <t> 6960    </t>
  </si>
  <si>
    <t>R.S.S.A.Y.</t>
  </si>
  <si>
    <t>www.renova.com.pe</t>
  </si>
  <si>
    <t>E.</t>
  </si>
  <si>
    <t>1er bloque</t>
  </si>
  <si>
    <t>William Soto Tinoco</t>
  </si>
  <si>
    <t>Juan Carlos Asmat</t>
  </si>
  <si>
    <t>971565321</t>
  </si>
  <si>
    <t>Jorge Hinostroza</t>
  </si>
  <si>
    <t>942119826</t>
  </si>
  <si>
    <t>Auxilio Mecánico</t>
  </si>
  <si>
    <t>971564322</t>
  </si>
  <si>
    <t>Raúl Liceras</t>
  </si>
  <si>
    <t>Jorge.Liendo@latam.shell.com</t>
  </si>
  <si>
    <t>SUNARP</t>
  </si>
  <si>
    <t>59039-5518</t>
  </si>
  <si>
    <t>58498-5489</t>
  </si>
  <si>
    <t>59014-5499</t>
  </si>
  <si>
    <t>CAL - Ordenes 2</t>
  </si>
  <si>
    <t>N.C.O.O.2.</t>
  </si>
  <si>
    <t>Movistar 24-04-15 10:36</t>
  </si>
  <si>
    <t xml:space="preserve"> Pedido: 205647654</t>
  </si>
  <si>
    <t>para el lunes 27-04-15</t>
  </si>
  <si>
    <t>Melgarejo</t>
  </si>
  <si>
    <t>PD-2298</t>
  </si>
  <si>
    <t>Augusto Villaran</t>
  </si>
  <si>
    <t>Reparacion de chapa y manija , compuerta posterior</t>
  </si>
  <si>
    <t>Reparacion de Funda posterior</t>
  </si>
  <si>
    <t>Carbajal</t>
  </si>
  <si>
    <t>Eugenio</t>
  </si>
  <si>
    <t>Romero</t>
  </si>
  <si>
    <t>ANATEC - Esperanza Poma Flores (anatec@speedy.com.pe)</t>
  </si>
  <si>
    <t>TARJETAS DE CIRCULACION TERRESTRE  AL 30/09/2009  (fbtch)</t>
  </si>
  <si>
    <t>s/n</t>
  </si>
  <si>
    <t>108  F8K-765</t>
  </si>
  <si>
    <t>114219-6986</t>
  </si>
  <si>
    <t>Venc-TANQ_GNV</t>
  </si>
  <si>
    <t>Espejo</t>
  </si>
  <si>
    <t>despejo@cosmos.com.pe</t>
  </si>
  <si>
    <t xml:space="preserve">  1ra.</t>
  </si>
  <si>
    <t xml:space="preserve">  2da.</t>
  </si>
  <si>
    <t>C3D-881</t>
  </si>
  <si>
    <t>58438-5456</t>
  </si>
  <si>
    <t>116376-3080</t>
  </si>
  <si>
    <t>rafael vertiz</t>
  </si>
  <si>
    <t>r.v.</t>
  </si>
  <si>
    <t>Enllantador</t>
  </si>
  <si>
    <t>Peso</t>
  </si>
  <si>
    <t>en Kg.</t>
  </si>
  <si>
    <t>Fecha de</t>
  </si>
  <si>
    <t>Pesaje</t>
  </si>
  <si>
    <t>02 Sold Electricas 01Sold Autogena 01 Tornillo de banco  01 Esmeril mediano 01 gata hidr p´20tns</t>
  </si>
  <si>
    <t>i.</t>
  </si>
  <si>
    <r>
      <t xml:space="preserve">Almacen / </t>
    </r>
    <r>
      <rPr>
        <i/>
        <sz val="9"/>
        <rFont val="Arial"/>
        <family val="2"/>
      </rPr>
      <t>Limpieza(1/2)</t>
    </r>
  </si>
  <si>
    <t>1P29</t>
  </si>
  <si>
    <t>61338-5590</t>
  </si>
  <si>
    <t>Solicitud Simple al MTC</t>
  </si>
  <si>
    <t xml:space="preserve">   Silvia Patricia Linares Tapia</t>
  </si>
  <si>
    <t>0074454-1851004</t>
  </si>
  <si>
    <t>Total 1D60</t>
  </si>
  <si>
    <t>Roberto Aguirre</t>
  </si>
  <si>
    <t>Flor Rovai</t>
  </si>
  <si>
    <t>F.R.</t>
  </si>
  <si>
    <t xml:space="preserve">TPC – RANSA BARRÓN </t>
  </si>
  <si>
    <t>F_Ortiz Pach</t>
  </si>
  <si>
    <t>00246-4985146</t>
  </si>
  <si>
    <t>Terrones</t>
  </si>
  <si>
    <t>Tk</t>
  </si>
  <si>
    <t>Cq</t>
  </si>
  <si>
    <t>ehuaraqui@budweiser.com</t>
  </si>
  <si>
    <t>Otroapartadopostal</t>
  </si>
  <si>
    <t>PáginaWeb</t>
  </si>
  <si>
    <t>Prioridad</t>
  </si>
  <si>
    <t>Private</t>
  </si>
  <si>
    <t>EmailType</t>
  </si>
  <si>
    <t>941895170</t>
  </si>
  <si>
    <t>Ernesto</t>
  </si>
  <si>
    <t>Bossio</t>
  </si>
  <si>
    <t> 79</t>
  </si>
  <si>
    <t> 75945</t>
  </si>
  <si>
    <t> 1962</t>
  </si>
  <si>
    <t>41*343*3744</t>
  </si>
  <si>
    <r>
      <t>IMPRESA Pagado/</t>
    </r>
    <r>
      <rPr>
        <b/>
        <sz val="9"/>
        <color indexed="12"/>
        <rFont val="Arial"/>
        <family val="2"/>
      </rPr>
      <t>FIRMADO</t>
    </r>
  </si>
  <si>
    <r>
      <t xml:space="preserve"> 103</t>
    </r>
    <r>
      <rPr>
        <b/>
        <sz val="11"/>
        <color indexed="10"/>
        <rFont val="Arial"/>
        <family val="2"/>
      </rPr>
      <t>x</t>
    </r>
    <r>
      <rPr>
        <sz val="11"/>
        <color indexed="12"/>
        <rFont val="Arial"/>
        <family val="2"/>
      </rPr>
      <t>0615</t>
    </r>
  </si>
  <si>
    <r>
      <t>411</t>
    </r>
    <r>
      <rPr>
        <b/>
        <sz val="11"/>
        <color indexed="10"/>
        <rFont val="Arial"/>
        <family val="2"/>
      </rPr>
      <t>x</t>
    </r>
    <r>
      <rPr>
        <sz val="11"/>
        <color indexed="12"/>
        <rFont val="Arial"/>
        <family val="2"/>
      </rPr>
      <t>4990</t>
    </r>
  </si>
  <si>
    <t>MARTINEZ TERRONES UBELSER</t>
  </si>
  <si>
    <t>Maria Elena Leon (G-MAIR)</t>
  </si>
  <si>
    <t>Faja alternador Gates 9454</t>
  </si>
  <si>
    <t>faja bomba agua K060435</t>
  </si>
  <si>
    <t>0087953-9467115</t>
  </si>
  <si>
    <t>L.Z.</t>
  </si>
  <si>
    <t>Nora</t>
  </si>
  <si>
    <t>N.M.</t>
  </si>
  <si>
    <t>Washburn</t>
  </si>
  <si>
    <t> SR474983900</t>
  </si>
  <si>
    <t> 22</t>
  </si>
  <si>
    <t> ZG9568</t>
  </si>
  <si>
    <t> 150203075</t>
  </si>
  <si>
    <t>silviabekich@gmail.com</t>
  </si>
  <si>
    <t>Cano</t>
  </si>
  <si>
    <t>Tolentino</t>
  </si>
  <si>
    <t>577 7707</t>
  </si>
  <si>
    <t>AM-4227</t>
  </si>
  <si>
    <t>Pago a Oswaldo Velasquez S/ 528.00 al 15/12/2008 13:28hrs (Cheque BCP)</t>
  </si>
  <si>
    <t>Valderrama</t>
  </si>
  <si>
    <t>Fruehauf</t>
  </si>
  <si>
    <t>PLANCHADO</t>
  </si>
  <si>
    <t>Planchar y cuadrar compuerta posterior</t>
  </si>
  <si>
    <t>2 NISSAN Blanca TD27</t>
  </si>
  <si>
    <t>3 TOYOTA Cressida</t>
  </si>
  <si>
    <t> ZG3485</t>
  </si>
  <si>
    <t> 150203030</t>
  </si>
  <si>
    <t>Pajuelo</t>
  </si>
  <si>
    <t>Patricio</t>
  </si>
  <si>
    <t>Bartolome</t>
  </si>
  <si>
    <t>Chirinos</t>
  </si>
  <si>
    <t>* Nota: los tramites y pagos se hicieron con mimima presencia</t>
  </si>
  <si>
    <t>Paz</t>
  </si>
  <si>
    <t>Chofer Auxilio/Seg</t>
  </si>
  <si>
    <t>Delgado</t>
  </si>
  <si>
    <t>Concepcion</t>
  </si>
  <si>
    <t>Priscilo</t>
  </si>
  <si>
    <t>Angelica</t>
  </si>
  <si>
    <t>Remitidopor</t>
  </si>
  <si>
    <t>Vehiculos Ligeros</t>
  </si>
  <si>
    <t>Fecha de Cita</t>
  </si>
  <si>
    <t> YG1383</t>
  </si>
  <si>
    <t>Interno</t>
  </si>
  <si>
    <t>Rodaje</t>
  </si>
  <si>
    <t>Látex Vencelatex 1 gl</t>
  </si>
  <si>
    <t>09037426</t>
  </si>
  <si>
    <t>LIZARBE CARDENAS JAIME</t>
  </si>
  <si>
    <t> 89</t>
  </si>
  <si>
    <t> ZG6712</t>
  </si>
  <si>
    <t> 150203042</t>
  </si>
  <si>
    <t> 4790    </t>
  </si>
  <si>
    <t> 72</t>
  </si>
  <si>
    <t> ZG1432</t>
  </si>
  <si>
    <t> 150203017</t>
  </si>
  <si>
    <t> FWC-510508</t>
  </si>
  <si>
    <t> 33000   </t>
  </si>
  <si>
    <t>Henry Selaya Ch.</t>
  </si>
  <si>
    <t>HomeCity</t>
  </si>
  <si>
    <t>HomeState</t>
  </si>
  <si>
    <t>HomePostalCode</t>
  </si>
  <si>
    <t>14/01/20013</t>
  </si>
  <si>
    <t>Cabina Simple con Litera</t>
  </si>
  <si>
    <t xml:space="preserve">Tolva </t>
  </si>
  <si>
    <t>VAMDEN PLAS</t>
  </si>
  <si>
    <t>FORD Expedition 2000</t>
  </si>
  <si>
    <t> 150203046</t>
  </si>
  <si>
    <t>KIA SORENTO</t>
  </si>
  <si>
    <t>Nombre de Usuario:</t>
  </si>
  <si>
    <t>Total 1D71</t>
  </si>
  <si>
    <t>Total 1D80</t>
  </si>
  <si>
    <t>Total 1D87</t>
  </si>
  <si>
    <t>Total 1P52</t>
  </si>
  <si>
    <t>Total 1P53</t>
  </si>
  <si>
    <t>Código de Afiliado Spp</t>
  </si>
  <si>
    <t>0080101-2852920</t>
  </si>
  <si>
    <t>1D61</t>
  </si>
  <si>
    <t xml:space="preserve">Av.Huaylas N.360 </t>
  </si>
  <si>
    <t>servosashell.marcoaguirre@gmail.com</t>
  </si>
  <si>
    <t>Movistar 07-09-15  14 51</t>
  </si>
  <si>
    <t>Ped_Nv 20492292592</t>
  </si>
  <si>
    <t xml:space="preserve"> Sin Nro de Motor</t>
  </si>
  <si>
    <t>nextel  133*6648</t>
  </si>
  <si>
    <t> 74</t>
  </si>
  <si>
    <t>H-026</t>
  </si>
  <si>
    <t>Manuel Chavez Yalan</t>
  </si>
  <si>
    <t>ZG-3491</t>
  </si>
  <si>
    <t>ZG1507</t>
  </si>
  <si>
    <t>H-030</t>
  </si>
  <si>
    <t>H-031</t>
  </si>
  <si>
    <t>H-032</t>
  </si>
  <si>
    <t>Ap.Materno</t>
  </si>
  <si>
    <t>1er. Nombre</t>
  </si>
  <si>
    <t>2do. Nombre</t>
  </si>
  <si>
    <t>quedan muy bien para vender por temporada y fiestas a unos minimo 30 soles.</t>
  </si>
  <si>
    <t>61631-5827</t>
  </si>
  <si>
    <t>61636-5828</t>
  </si>
  <si>
    <t>Eladio Carranza J.</t>
  </si>
  <si>
    <t>Jorge Hinostroza V.</t>
  </si>
  <si>
    <t>Lija para agua # 400  ASA</t>
  </si>
  <si>
    <t>2008-433687</t>
  </si>
  <si>
    <t>7.82</t>
  </si>
  <si>
    <t>Modem Router 04 ptos.</t>
  </si>
  <si>
    <t> 113920</t>
  </si>
  <si>
    <t>116012-2577051</t>
  </si>
  <si>
    <t>115966-1624144</t>
  </si>
  <si>
    <t>115983-9896961</t>
  </si>
  <si>
    <t>115978-2747710</t>
  </si>
  <si>
    <t>1D87</t>
  </si>
  <si>
    <t>115986-2755240</t>
  </si>
  <si>
    <t>116005-2541758</t>
  </si>
  <si>
    <t>115977-1314730</t>
  </si>
  <si>
    <t>150913202 / 53031-A</t>
  </si>
  <si>
    <t>williamcamones@hotmail.com</t>
  </si>
  <si>
    <t>GRATIFICACION DICIEMBRE - 2012</t>
  </si>
  <si>
    <t>162  F0D-935</t>
  </si>
  <si>
    <t>210  D8R-970</t>
  </si>
  <si>
    <t>220   D8S-979</t>
  </si>
  <si>
    <t>marisuangeles@hotmail.com</t>
  </si>
  <si>
    <t>Carolina Lozano [encuesta@mintra.gob.pe]</t>
  </si>
  <si>
    <t>6167-2237</t>
  </si>
  <si>
    <t>0D78</t>
  </si>
  <si>
    <t>Lija para agua # 220  ASA</t>
  </si>
  <si>
    <t>Copia</t>
  </si>
  <si>
    <t xml:space="preserve">Observ </t>
  </si>
  <si>
    <t>Serie(Chasis)</t>
  </si>
  <si>
    <t>Combustible</t>
  </si>
  <si>
    <t> SRV-40-3-036</t>
  </si>
  <si>
    <t>RODRIGUEZ MESIAS MARCELINO G</t>
  </si>
  <si>
    <t xml:space="preserve"> 11.-</t>
  </si>
  <si>
    <t>mariaelenaleon_1@hotmail.com</t>
  </si>
  <si>
    <t>thernandez@softwarebusiness.com.pe</t>
  </si>
  <si>
    <t>Sedan</t>
  </si>
  <si>
    <t>CARDENAS SALDAÑA JULIO ZENON</t>
  </si>
  <si>
    <t>40834904</t>
  </si>
  <si>
    <t>01 Maquina der coser lonas industrial</t>
  </si>
  <si>
    <t>L-923</t>
  </si>
  <si>
    <t>Petroleo</t>
  </si>
  <si>
    <t>P.A.A.S.</t>
  </si>
  <si>
    <t>Dante Vega</t>
  </si>
  <si>
    <t>c.c.</t>
  </si>
  <si>
    <t>59006-5493</t>
  </si>
  <si>
    <t>SR-474-98-3900</t>
  </si>
  <si>
    <t>SR-473-98-3899</t>
  </si>
  <si>
    <t>MMRR00299</t>
  </si>
  <si>
    <t>216  B1G-985</t>
  </si>
  <si>
    <t xml:space="preserve"> -.-</t>
  </si>
  <si>
    <t>Año Fabr.</t>
  </si>
  <si>
    <t xml:space="preserve">  Ult-Dig    Placa</t>
  </si>
  <si>
    <t>MITSUBISHI-MIRAGE</t>
  </si>
  <si>
    <t> 34</t>
  </si>
  <si>
    <t> YG1364</t>
  </si>
  <si>
    <t>Sist Operativo de Servidor</t>
  </si>
  <si>
    <t>EDELNOR</t>
  </si>
  <si>
    <t>Convenio de Pago de LUZ [1d 8]</t>
  </si>
  <si>
    <t>vivi.washburn@knology.net</t>
  </si>
  <si>
    <t>Viviana Washburn</t>
  </si>
  <si>
    <t>V.W.</t>
  </si>
  <si>
    <t>Calmet</t>
  </si>
  <si>
    <t>mcalmet@detec.com.pe</t>
  </si>
  <si>
    <t>Miguel Calmet</t>
  </si>
  <si>
    <t>M.C.</t>
  </si>
  <si>
    <t>Mariana</t>
  </si>
  <si>
    <t>PATRICIA RODRIGUEZ</t>
  </si>
  <si>
    <t>6164-2235</t>
  </si>
  <si>
    <t>6166-2236</t>
  </si>
  <si>
    <t>F/INGRESO</t>
  </si>
  <si>
    <t> SRV-30-3-008</t>
  </si>
  <si>
    <t> 1997</t>
  </si>
  <si>
    <t> 10300    </t>
  </si>
  <si>
    <t> 4</t>
  </si>
  <si>
    <t> ZG6930</t>
  </si>
  <si>
    <t>998139560</t>
  </si>
  <si>
    <t>jluna@softwarebusiness.com.pe</t>
  </si>
  <si>
    <t>MANRIQUE FERNANDEZ ANDRES</t>
  </si>
  <si>
    <t xml:space="preserve"> C-315 [ZG-15070]</t>
  </si>
  <si>
    <t>433-1673</t>
  </si>
  <si>
    <t>cesarq@transcosta.com.pe</t>
  </si>
  <si>
    <t>72 / W-924 / 123939</t>
  </si>
  <si>
    <t>BANCO SCOTIABANK</t>
  </si>
  <si>
    <t>VESPA AZUL</t>
  </si>
  <si>
    <t>MG-13405</t>
  </si>
  <si>
    <t>Llantas Comercio &amp; Cia</t>
  </si>
  <si>
    <t>Juan C. Asmat Sigueñas</t>
  </si>
  <si>
    <t>Jose M. Castañeda Tantalean</t>
  </si>
  <si>
    <t>Mantenimiento</t>
  </si>
  <si>
    <t>SGZ-904</t>
  </si>
  <si>
    <t>OO-6373</t>
  </si>
  <si>
    <t>Cordano</t>
  </si>
  <si>
    <t>Italo</t>
  </si>
  <si>
    <t>Vittorio</t>
  </si>
  <si>
    <t>002539-2854</t>
  </si>
  <si>
    <t>Guia</t>
  </si>
  <si>
    <t>FECHA INGRESO</t>
  </si>
  <si>
    <t>JORNAL BASICO DIARIO</t>
  </si>
  <si>
    <t>TOTAL INGRESOS</t>
  </si>
  <si>
    <t>Silvia</t>
  </si>
  <si>
    <t>PAZ DELGADO JOSE CONCEPCION</t>
  </si>
  <si>
    <t>41169973</t>
  </si>
  <si>
    <t> YG6134</t>
  </si>
  <si>
    <t> 150203010</t>
  </si>
  <si>
    <t> 113923</t>
  </si>
  <si>
    <t> 66</t>
  </si>
  <si>
    <t> ZG6340</t>
  </si>
  <si>
    <t> 150911614</t>
  </si>
  <si>
    <t> 9710    </t>
  </si>
  <si>
    <t>Marcelino Rodríguez</t>
  </si>
  <si>
    <t>65691-9273</t>
  </si>
  <si>
    <t>65692-9274</t>
  </si>
  <si>
    <t>65693-9275</t>
  </si>
  <si>
    <t>65695-9276</t>
  </si>
  <si>
    <t>65697-9277</t>
  </si>
  <si>
    <t>67501-9278</t>
  </si>
  <si>
    <t>67502-9279</t>
  </si>
  <si>
    <t>QUISPE RAMOS CESAR ENRIQUE</t>
  </si>
  <si>
    <t>JEFE DE SISTEMAS</t>
  </si>
  <si>
    <t>Lts</t>
  </si>
  <si>
    <t>Glns</t>
  </si>
  <si>
    <t>Gasolina 97</t>
  </si>
  <si>
    <t xml:space="preserve">  01 Gln Eqv a 3.16lts (GNV)</t>
  </si>
  <si>
    <t>Gas [GNV]</t>
  </si>
  <si>
    <t>P.T.A.A.F.</t>
  </si>
  <si>
    <t>Copias de Certificado de Operatividad vigentes</t>
  </si>
  <si>
    <t>411-4600 (4620</t>
  </si>
  <si>
    <t>Anniversary</t>
  </si>
  <si>
    <t>LF-3000</t>
  </si>
  <si>
    <t>San Juan de Lurigancho - Lima</t>
  </si>
  <si>
    <t>TRANSF DE OTRA CTA</t>
  </si>
  <si>
    <t>TRANSF A 191318332</t>
  </si>
  <si>
    <t>TRANSF A 191292061</t>
  </si>
  <si>
    <t>TRANSF A 193159538</t>
  </si>
  <si>
    <t>TRANSF A 191203539</t>
  </si>
  <si>
    <t>TRANSF A 191306518</t>
  </si>
  <si>
    <t>TRANSF A 191320464</t>
  </si>
  <si>
    <t>TRANSF A 193159537</t>
  </si>
  <si>
    <t>TRANSF A 193169006</t>
  </si>
  <si>
    <t>TRANSF A 191237499</t>
  </si>
  <si>
    <t>TRANSF A 191279407</t>
  </si>
  <si>
    <t>ABONO EN CTA.</t>
  </si>
  <si>
    <t>TOTAL DEPOSITOS</t>
  </si>
  <si>
    <t>DEPOSITOS A CHOFERES</t>
  </si>
  <si>
    <t>Alfredo Altamirano</t>
  </si>
  <si>
    <t>Claiton salas</t>
  </si>
  <si>
    <t>Lin Gomez</t>
  </si>
  <si>
    <t>Manuel Castañeda</t>
  </si>
  <si>
    <t>J.V.A.</t>
  </si>
  <si>
    <t>Claudia</t>
  </si>
  <si>
    <t>41*343*3816</t>
  </si>
  <si>
    <t>Rec. Honorarios</t>
  </si>
  <si>
    <t>Factura</t>
  </si>
  <si>
    <t>Juan Manrique</t>
  </si>
  <si>
    <t>Cesar Mendez</t>
  </si>
  <si>
    <t>Prendadas</t>
  </si>
  <si>
    <t>Situacion</t>
  </si>
  <si>
    <t>Andres_Santivanez/pecsa.com.pe@pecsa.com.pe</t>
  </si>
  <si>
    <t xml:space="preserve"> Daniel Espejo</t>
  </si>
  <si>
    <t xml:space="preserve"> Pacotaype (Lurin)</t>
  </si>
  <si>
    <t>Devuelto Rect Oficio</t>
  </si>
  <si>
    <t>LF-516</t>
  </si>
  <si>
    <t>Kgr</t>
  </si>
  <si>
    <t>Waype</t>
  </si>
  <si>
    <t>65667-9261</t>
  </si>
  <si>
    <t>Chq Bco CREDITO</t>
  </si>
  <si>
    <t>Cantidad de Unidades</t>
  </si>
  <si>
    <t>CRUZADO BURGOS JOSE AUGUSTO</t>
  </si>
  <si>
    <t>MECANICO AUTOMOTRIZ</t>
  </si>
  <si>
    <t>6160-2231</t>
  </si>
  <si>
    <t>Comunicaciones Pacifico Vida</t>
  </si>
  <si>
    <t>C.P.V.</t>
  </si>
  <si>
    <t>DETEC - Jorge</t>
  </si>
  <si>
    <t>Castillo</t>
  </si>
  <si>
    <t>ARO 8.25X22.5 - ARTILLERO - ACERO - GULUN</t>
  </si>
  <si>
    <t>LLANTA 11R22.5/16 PR VIKRANT VALIANT VUH</t>
  </si>
  <si>
    <t>7.86+0.12+0.06</t>
  </si>
  <si>
    <t>Chofer Desc</t>
  </si>
  <si>
    <t>Chofer Abon</t>
  </si>
  <si>
    <t> 9590   </t>
  </si>
  <si>
    <t> 8700  </t>
  </si>
  <si>
    <t> 8380   </t>
  </si>
  <si>
    <t> 25000  </t>
  </si>
  <si>
    <t xml:space="preserve">Espinoza </t>
  </si>
  <si>
    <t xml:space="preserve"> Mantenimientos x Mes [Unidades]</t>
  </si>
  <si>
    <t> 8500    </t>
  </si>
  <si>
    <t>HomeStreet3</t>
  </si>
  <si>
    <t>0251600-8760879</t>
  </si>
  <si>
    <t>0251592-3308489</t>
  </si>
  <si>
    <r>
      <t>Memorandum - Sem 43/2012</t>
    </r>
    <r>
      <rPr>
        <b/>
        <sz val="12"/>
        <rFont val="Courier Final Draft"/>
        <family val="3"/>
      </rPr>
      <t xml:space="preserve">   </t>
    </r>
    <r>
      <rPr>
        <sz val="12"/>
        <rFont val="Courier Final Draft"/>
        <family val="3"/>
      </rPr>
      <t xml:space="preserve">-   </t>
    </r>
    <r>
      <rPr>
        <sz val="10"/>
        <rFont val="Courier Final Draft"/>
        <family val="3"/>
      </rPr>
      <t>Fecha: 02/11/12</t>
    </r>
  </si>
  <si>
    <t>Benjamin</t>
  </si>
  <si>
    <t>115975-3010567</t>
  </si>
  <si>
    <t>116003-2574448</t>
  </si>
  <si>
    <t>SRV-40-3-020</t>
  </si>
  <si>
    <t> 5650   </t>
  </si>
  <si>
    <t> 28700  </t>
  </si>
  <si>
    <t> 10300   </t>
  </si>
  <si>
    <t> 8800   </t>
  </si>
  <si>
    <t>ZG-1275</t>
  </si>
  <si>
    <t>'DINA SOLEDAD EGUSQUIZA LA TORRE'</t>
  </si>
  <si>
    <t> 106513</t>
  </si>
  <si>
    <t> 7711    </t>
  </si>
  <si>
    <t> 47</t>
  </si>
  <si>
    <t> YG1461</t>
  </si>
  <si>
    <t>estudiovertizbriolo@hotmail.com</t>
  </si>
  <si>
    <t> 1</t>
  </si>
  <si>
    <t> YG1263</t>
  </si>
  <si>
    <t>2008-448065</t>
  </si>
  <si>
    <t>8.04</t>
  </si>
  <si>
    <t>11382331  a 1 Pasajero</t>
  </si>
  <si>
    <t>7.74 + 0-12</t>
  </si>
  <si>
    <t>Total 1D61 - Jorge Hinostroza Valladares</t>
  </si>
  <si>
    <t>ZG-7092</t>
  </si>
  <si>
    <t>AUTOREX S. A.</t>
  </si>
  <si>
    <t>Total 0P75   Walter Vallejos S.</t>
  </si>
  <si>
    <t>Alanya</t>
  </si>
  <si>
    <t>Muñico</t>
  </si>
  <si>
    <t>543080-3857</t>
  </si>
  <si>
    <t>Jorge SLPERU - OLLB/2211</t>
  </si>
  <si>
    <t>Liendo</t>
  </si>
  <si>
    <t>ORGANIZACION DE NEGOCIOS MULT.FERUSH SRL</t>
  </si>
  <si>
    <t>SR-472-98-3898</t>
  </si>
  <si>
    <t>Pintor</t>
  </si>
  <si>
    <t>Ruiz</t>
  </si>
  <si>
    <t>58396-5435</t>
  </si>
  <si>
    <t>58451-5462</t>
  </si>
  <si>
    <t xml:space="preserve">         Espejo roto, sobre guardafango rayado</t>
  </si>
  <si>
    <t>noramalaga@ya.com</t>
  </si>
  <si>
    <t>Charo Málaga</t>
  </si>
  <si>
    <t>Senosain</t>
  </si>
  <si>
    <t>110305-5347266</t>
  </si>
  <si>
    <t>Ubelser Martinez T.</t>
  </si>
  <si>
    <r>
      <t>Placa antigua</t>
    </r>
    <r>
      <rPr>
        <b/>
        <sz val="12"/>
        <color indexed="12"/>
        <rFont val="Arial"/>
        <family val="2"/>
      </rPr>
      <t xml:space="preserve"> YG-1461</t>
    </r>
  </si>
  <si>
    <t>C.Mendez</t>
  </si>
  <si>
    <t>J.Cruzado</t>
  </si>
  <si>
    <t> ZG3490</t>
  </si>
  <si>
    <t> 150203035</t>
  </si>
  <si>
    <t>41653183</t>
  </si>
  <si>
    <t>PINILLOS PINILLOS MANUEL ANGEL</t>
  </si>
  <si>
    <t>40135671</t>
  </si>
  <si>
    <t>MARTINEZ SILVA CESAR AUGUSTO</t>
  </si>
  <si>
    <t>40126071</t>
  </si>
  <si>
    <t>Pacif.Vida</t>
  </si>
  <si>
    <t>ASISTENTE DE ADMINISTRACION</t>
  </si>
  <si>
    <t>YG-1327</t>
  </si>
  <si>
    <t xml:space="preserve">1 ALFONSO ALFREDO TAMARA PEDREROS DNI: 09061729  A S/. 193-15953327-0-70 S/. 1,243.94 30092011 30092011 Sí  </t>
  </si>
  <si>
    <t>SERVICIOS VARIOS</t>
  </si>
  <si>
    <t>500 glns.</t>
  </si>
  <si>
    <t>C.d.S.a.C.d.S.L.</t>
  </si>
  <si>
    <t>Cinta maskingtape 3M (1/2")</t>
  </si>
  <si>
    <t>115972-2568954</t>
  </si>
  <si>
    <t>01 Prensa hidraul pequeña presion 5Tns. 01 esmeril mediano 01 tornillo de banco</t>
  </si>
  <si>
    <t>000426</t>
  </si>
  <si>
    <t>002106</t>
  </si>
  <si>
    <t>002105</t>
  </si>
  <si>
    <r>
      <t xml:space="preserve">332  </t>
    </r>
    <r>
      <rPr>
        <sz val="9"/>
        <rFont val="Arial"/>
        <family val="2"/>
      </rPr>
      <t>ZG-3004</t>
    </r>
  </si>
  <si>
    <r>
      <t xml:space="preserve">213  </t>
    </r>
    <r>
      <rPr>
        <sz val="9"/>
        <color indexed="17"/>
        <rFont val="Arial"/>
        <family val="2"/>
      </rPr>
      <t>ZG-6831</t>
    </r>
  </si>
  <si>
    <t>115991-2810354</t>
  </si>
  <si>
    <t>116011-7873539</t>
  </si>
  <si>
    <t>116019-2538356</t>
  </si>
  <si>
    <t>H-027</t>
  </si>
  <si>
    <t>TRANSPORTE COMERCIAL Y SEGURO TAKUSHI S.A.C</t>
  </si>
  <si>
    <t>Vendido Set-2009</t>
  </si>
  <si>
    <t>Costo Aproximado S/. 350.00=</t>
  </si>
  <si>
    <t>El  costo por  el corte es de 0,26 soles cantidades pequeñas</t>
  </si>
  <si>
    <t>Filtro para Agua</t>
  </si>
  <si>
    <t>Filtro para Aceite</t>
  </si>
  <si>
    <t>Semi Remolque</t>
  </si>
  <si>
    <t>Ana Granda Saavedra</t>
  </si>
  <si>
    <t>COSTO S/. 250.00 C/Rmq</t>
  </si>
  <si>
    <t>COSTO S/. 200.00 C/S-Rmq</t>
  </si>
  <si>
    <t>08738303</t>
  </si>
  <si>
    <t>Silva</t>
  </si>
  <si>
    <t>Est. Civil</t>
  </si>
  <si>
    <t>Antonio Venegas López</t>
  </si>
  <si>
    <t>A.V.L.</t>
  </si>
  <si>
    <t>Martha</t>
  </si>
  <si>
    <t>Andres</t>
  </si>
  <si>
    <t>Vega</t>
  </si>
  <si>
    <t>116020-5181625</t>
  </si>
  <si>
    <t>116015-7878470</t>
  </si>
  <si>
    <t>115990-2568487</t>
  </si>
  <si>
    <t>116001-2548942</t>
  </si>
  <si>
    <t>101  F5T-774</t>
  </si>
  <si>
    <t>MARIA SUSANA SOFIA</t>
  </si>
  <si>
    <t>ANGELES GARAYAR</t>
  </si>
  <si>
    <t>Danilo Motors S.A. Tlf. 436-1616 Surco</t>
  </si>
  <si>
    <t>RAYL@cmacica.com.pe</t>
  </si>
  <si>
    <t>Miguel Grados - PECSA</t>
  </si>
  <si>
    <t>M.G.P.</t>
  </si>
  <si>
    <t>Farias -</t>
  </si>
  <si>
    <t>DAEWOO LEGANZA</t>
  </si>
  <si>
    <t>Rony Roman Montañez</t>
  </si>
  <si>
    <t>Bobbio</t>
  </si>
  <si>
    <t>58480-5478</t>
  </si>
  <si>
    <t>58419-5447</t>
  </si>
  <si>
    <t>58390-5432</t>
  </si>
  <si>
    <t>58446-5460</t>
  </si>
  <si>
    <t>58466-5470</t>
  </si>
  <si>
    <t>58407-5440</t>
  </si>
  <si>
    <t> 150203063</t>
  </si>
  <si>
    <t> SRV403147</t>
  </si>
  <si>
    <t>Otropaísoregión</t>
  </si>
  <si>
    <t>BASE</t>
  </si>
  <si>
    <t>Gln-D2</t>
  </si>
  <si>
    <t>317-0500 Anexo 200</t>
  </si>
  <si>
    <t>Nextel: 132*2326</t>
  </si>
  <si>
    <t xml:space="preserve"> 998-139-990</t>
  </si>
  <si>
    <t>942-037-448</t>
  </si>
  <si>
    <t>Inst. en Av. Saenz Peña 284 of 503 - Callao</t>
  </si>
  <si>
    <t>55.55</t>
  </si>
  <si>
    <t>120</t>
  </si>
  <si>
    <t>150913205 / 53034-A</t>
  </si>
  <si>
    <t>8.96 + 0.12</t>
  </si>
  <si>
    <t>2.83*</t>
  </si>
  <si>
    <t>69 / W-924 / 113917</t>
  </si>
  <si>
    <t>2008-627720</t>
  </si>
  <si>
    <t>01 compresora con varias mangueras de uso, 01desenllantadora, mesa de trabajo, escritorio, sillas, pizarra, cuadros</t>
  </si>
  <si>
    <t>J. Garcia C.</t>
  </si>
  <si>
    <t>58433-5454</t>
  </si>
  <si>
    <t>58457-5465</t>
  </si>
  <si>
    <t>AÑO/MODELO/Nº SERIE</t>
  </si>
  <si>
    <t>(Tns)</t>
  </si>
  <si>
    <t>existe tambien el jersey reactivo que no destiñe pero el precio es de 32 soles el kg</t>
  </si>
  <si>
    <t>Sectorista</t>
  </si>
  <si>
    <t>Deuda/Tasa</t>
  </si>
  <si>
    <t>P.L.</t>
  </si>
  <si>
    <t>Faro posterior izquierdo</t>
  </si>
  <si>
    <t>PRECIO</t>
  </si>
  <si>
    <t>2.56 + 0.01</t>
  </si>
  <si>
    <t>DirecTV</t>
  </si>
  <si>
    <t>971543818</t>
  </si>
  <si>
    <t>942427348</t>
  </si>
  <si>
    <t>Augusto Coronel</t>
  </si>
  <si>
    <t>Conectado desde el servidor, en ADMINISTRACION</t>
  </si>
  <si>
    <t>150911619 / 51747-A</t>
  </si>
  <si>
    <t>EQUIPOS RPM</t>
  </si>
  <si>
    <t>LINEA</t>
  </si>
  <si>
    <t>EQUIPO</t>
  </si>
  <si>
    <t>1082400-7173577</t>
  </si>
  <si>
    <t>TPC – SAN AGUSTIN</t>
  </si>
  <si>
    <t>0756444-4352028</t>
  </si>
  <si>
    <t>002109</t>
  </si>
  <si>
    <t>RANSA</t>
  </si>
  <si>
    <t>Cesar Ballon</t>
  </si>
  <si>
    <t>Jhon Li</t>
  </si>
  <si>
    <t>46559701</t>
  </si>
  <si>
    <t>Alayo</t>
  </si>
  <si>
    <t>Duber</t>
  </si>
  <si>
    <t>485-9095</t>
  </si>
  <si>
    <t>485-4075</t>
  </si>
  <si>
    <t>(99) 812 *5832</t>
  </si>
  <si>
    <t>Nota: los calculos del promedio diario pagado son erroneos ya que se considero como antes que eran 04 semanas antes del suceso lo cual correspondia a S/. 54.47 x dia.</t>
  </si>
  <si>
    <t>May</t>
  </si>
  <si>
    <t>xx</t>
  </si>
  <si>
    <t> 150913200</t>
  </si>
  <si>
    <t>Nota: los calculos del promedio diario pagado son erroneos ya que se considero como antes que eran 04 semanas antes del suceso lo cual correspondia a S/. 54.47 x dia, los 20 primeros dias los paga la empresa y los restantes 103 dias se recuperan del seguro.</t>
  </si>
  <si>
    <t>actualmente es el servidor</t>
  </si>
  <si>
    <t>Huaringa Bustos</t>
  </si>
  <si>
    <t>Irving Eduardo</t>
  </si>
  <si>
    <t>Tornero</t>
  </si>
  <si>
    <t>Laptop</t>
  </si>
  <si>
    <t>115  YG-1360</t>
  </si>
  <si>
    <r>
      <t xml:space="preserve">124  </t>
    </r>
    <r>
      <rPr>
        <sz val="8"/>
        <color indexed="54"/>
        <rFont val="Arial"/>
        <family val="2"/>
      </rPr>
      <t>YG-6385</t>
    </r>
  </si>
  <si>
    <t>Rodolfo</t>
  </si>
  <si>
    <t>Total 0D10 - Fredy Ortiz Pacheco</t>
  </si>
  <si>
    <t>RQM-518</t>
  </si>
  <si>
    <t xml:space="preserve">Situacion </t>
  </si>
  <si>
    <t xml:space="preserve"> Empresa : Transcosta S.A.C.    R.U.C. : 20100019354</t>
  </si>
  <si>
    <t>Total 1D36</t>
  </si>
  <si>
    <t>0236417-3594646</t>
  </si>
  <si>
    <t>0074445-9020137</t>
  </si>
  <si>
    <t>6404999-4050280</t>
  </si>
  <si>
    <t>Telefonos</t>
  </si>
  <si>
    <t>Jefatura de Mantenimiento</t>
  </si>
  <si>
    <t>Almacen</t>
  </si>
  <si>
    <t>Taller Mant</t>
  </si>
  <si>
    <t>Lavadero</t>
  </si>
  <si>
    <t>Suspensiones</t>
  </si>
  <si>
    <t>Personal</t>
  </si>
  <si>
    <t>Marca</t>
  </si>
  <si>
    <t>YG-1384</t>
  </si>
  <si>
    <t>D7Z-995</t>
  </si>
  <si>
    <t>Certificado</t>
  </si>
  <si>
    <t>OP29</t>
  </si>
  <si>
    <t>41*343*3824</t>
  </si>
  <si>
    <t>C. Salas</t>
  </si>
  <si>
    <t>OP30</t>
  </si>
  <si>
    <t>41*343*3832</t>
  </si>
  <si>
    <t>OP31</t>
  </si>
  <si>
    <t>41*343*3841</t>
  </si>
  <si>
    <t> YG1396</t>
  </si>
  <si>
    <t> 123937</t>
  </si>
  <si>
    <t> 63</t>
  </si>
  <si>
    <t> YG6132</t>
  </si>
  <si>
    <t>TOYOTA-CALDINA</t>
  </si>
  <si>
    <t>Recalculando considerando el total de dias versus lo depositado (pagado) da el sgte. Resumen</t>
  </si>
  <si>
    <t>Descanso</t>
  </si>
  <si>
    <t>viry_libra17@hotmail.com</t>
  </si>
  <si>
    <t>ruth_pasion12@hotmail.com</t>
  </si>
  <si>
    <t>150832174 / 40579-A</t>
  </si>
  <si>
    <t> ZG9419</t>
  </si>
  <si>
    <t> 150203073</t>
  </si>
  <si>
    <t> SR-471-98-3897</t>
  </si>
  <si>
    <t>Jorge Denis Llerena Manuyama  DNI: 46456166</t>
  </si>
  <si>
    <t>T.E.M.</t>
  </si>
  <si>
    <t>igv</t>
  </si>
  <si>
    <t>tt</t>
  </si>
  <si>
    <r>
      <t xml:space="preserve">357  </t>
    </r>
    <r>
      <rPr>
        <sz val="9"/>
        <rFont val="Arial"/>
        <family val="2"/>
      </rPr>
      <t>ZQ-1428</t>
    </r>
  </si>
  <si>
    <t>58485-5482</t>
  </si>
  <si>
    <t>58443-5458</t>
  </si>
  <si>
    <t>Sin especificar</t>
  </si>
  <si>
    <t>Jose Rosembert</t>
  </si>
  <si>
    <t># 03</t>
  </si>
  <si>
    <t>07:00 hrs.</t>
  </si>
  <si>
    <t>SAGA FALABELLA</t>
  </si>
  <si>
    <t xml:space="preserve"> 6271 8070 1936 2422</t>
  </si>
  <si>
    <t>FredT</t>
  </si>
  <si>
    <t>150913196 / 53025-A</t>
  </si>
  <si>
    <t>LF-670</t>
  </si>
  <si>
    <t>LF-777</t>
  </si>
  <si>
    <t>SRV403053</t>
  </si>
  <si>
    <t>FRUEHAUF</t>
  </si>
  <si>
    <t>CODIGO</t>
  </si>
  <si>
    <t>RIV-361</t>
  </si>
  <si>
    <t>RQP-425</t>
  </si>
  <si>
    <t>Srta. Sonia - 434-4347  Jv. Prado Este 5430 - Camacho // La Molina</t>
  </si>
  <si>
    <t>11/04/2011 16:35hrs</t>
  </si>
  <si>
    <t>Enriquez</t>
  </si>
  <si>
    <t>Yeperson Carihuazairo Yucra</t>
  </si>
  <si>
    <t>S/. 350.00=</t>
  </si>
  <si>
    <t>TOYOTA CALDINA - 20/01/09</t>
  </si>
  <si>
    <t>Manrique Vega</t>
  </si>
  <si>
    <t>Nextel 415*5529.</t>
  </si>
  <si>
    <t>TPC – ARGENTINA</t>
  </si>
  <si>
    <t>05 dias aproximadamente</t>
  </si>
  <si>
    <t>766-2067</t>
  </si>
  <si>
    <t>RAMIREZ JAUREGUI MARIO HERNAN</t>
  </si>
  <si>
    <t> ZI1241</t>
  </si>
  <si>
    <t> 150203078</t>
  </si>
  <si>
    <t>COSTO S/. 30.00= C/U</t>
  </si>
  <si>
    <t>24/07/08 Ok ORLC</t>
  </si>
  <si>
    <t>Por presentar Ok(UNI)</t>
  </si>
  <si>
    <t>Pedir Tacha x Motor</t>
  </si>
  <si>
    <t>Burgos</t>
  </si>
  <si>
    <t>Santos</t>
  </si>
  <si>
    <t>A &amp; E Automotriz  ( Iquitos 232 -la victoria)</t>
  </si>
  <si>
    <t>Cmta. Caldina Negro/plomo sts-wgn</t>
  </si>
  <si>
    <t>D.D.</t>
  </si>
  <si>
    <t>Gerente de Creditos</t>
  </si>
  <si>
    <t> 150203015</t>
  </si>
  <si>
    <t>08345339</t>
  </si>
  <si>
    <t>10544033</t>
  </si>
  <si>
    <t>PINTURAS Y ACCESORIOS/PINTURAS</t>
  </si>
  <si>
    <t>Propt</t>
  </si>
  <si>
    <t xml:space="preserve"> INTERFAZ DE GRIFO (Diesel)</t>
  </si>
  <si>
    <t>FF-125</t>
  </si>
  <si>
    <t>WF-2074</t>
  </si>
  <si>
    <t>lucero_23león@hotmail.com</t>
  </si>
  <si>
    <t>OP09</t>
  </si>
  <si>
    <t>02 Tornos grande y chico, armarios, mesa de trabajo, herramientas</t>
  </si>
  <si>
    <t> YG1334</t>
  </si>
  <si>
    <t> 150202979</t>
  </si>
  <si>
    <t> SRV-40-3-019</t>
  </si>
  <si>
    <t> 93</t>
  </si>
  <si>
    <t>GRIFERO</t>
  </si>
  <si>
    <t> 22640   </t>
  </si>
  <si>
    <t>debera ser confirmado el 28/01/09 en la mañana</t>
  </si>
  <si>
    <t>TRABAJO A REALIZAR</t>
  </si>
  <si>
    <t>1P52</t>
  </si>
  <si>
    <t>SRV-30-3-249</t>
  </si>
  <si>
    <t>ehernandez@viabcp.com</t>
  </si>
  <si>
    <t>jeva56@hotmail.com</t>
  </si>
  <si>
    <t>0P97</t>
  </si>
  <si>
    <t>65629-9240</t>
  </si>
  <si>
    <t>65630-9241</t>
  </si>
  <si>
    <t>1P25</t>
  </si>
  <si>
    <t>65631-9242</t>
  </si>
  <si>
    <t>65632-9243</t>
  </si>
  <si>
    <t> 150911620</t>
  </si>
  <si>
    <t> 10350    </t>
  </si>
  <si>
    <t> 150402530</t>
  </si>
  <si>
    <t> 9500    </t>
  </si>
  <si>
    <t>Maritza</t>
  </si>
  <si>
    <t>7.83+0.14+0.04</t>
  </si>
  <si>
    <t>2.86*</t>
  </si>
  <si>
    <t>TOYOTA-CRESSIDA</t>
  </si>
  <si>
    <t>15:00 hrs.</t>
  </si>
  <si>
    <t>MAY 2010´</t>
  </si>
  <si>
    <t> 113919</t>
  </si>
  <si>
    <t> 58</t>
  </si>
  <si>
    <t> YG6127</t>
  </si>
  <si>
    <t> 150203003</t>
  </si>
  <si>
    <t>León Callirgos</t>
  </si>
  <si>
    <t>(G-MAIR)</t>
  </si>
  <si>
    <t>Srta. Carla Prado    311-9898  Anexo  *130  de 09:00 hasta 18:00hrs</t>
  </si>
  <si>
    <t>Cuotas mensuales</t>
  </si>
  <si>
    <t>m.L.C.</t>
  </si>
  <si>
    <t>-</t>
  </si>
  <si>
    <t>Transportes</t>
  </si>
  <si>
    <t>achiclote@pacifico.com.pe</t>
  </si>
  <si>
    <t>0251355-0647994</t>
  </si>
  <si>
    <t>69 / W924A / 113914</t>
  </si>
  <si>
    <t>polacos : tck</t>
  </si>
  <si>
    <t>corte</t>
  </si>
  <si>
    <t>costura</t>
  </si>
  <si>
    <t>tela</t>
  </si>
  <si>
    <t> 12</t>
  </si>
  <si>
    <t>Pucallpa</t>
  </si>
  <si>
    <t>FECHA NAC</t>
  </si>
  <si>
    <t>4 92</t>
  </si>
  <si>
    <t>Total 1D24</t>
  </si>
  <si>
    <t xml:space="preserve"> Unidades en Tramites : MTC - Inscripcion Tarjeta de circulacion</t>
  </si>
  <si>
    <r>
      <t>992</t>
    </r>
    <r>
      <rPr>
        <b/>
        <sz val="9"/>
        <color indexed="10"/>
        <rFont val="Arial"/>
        <family val="2"/>
      </rPr>
      <t>-</t>
    </r>
    <r>
      <rPr>
        <sz val="9"/>
        <color indexed="12"/>
        <rFont val="Arial"/>
        <family val="2"/>
      </rPr>
      <t>495</t>
    </r>
    <r>
      <rPr>
        <b/>
        <sz val="9"/>
        <color indexed="10"/>
        <rFont val="Arial"/>
        <family val="2"/>
      </rPr>
      <t>-</t>
    </r>
    <r>
      <rPr>
        <sz val="9"/>
        <color indexed="12"/>
        <rFont val="Arial"/>
        <family val="2"/>
      </rPr>
      <t>713</t>
    </r>
  </si>
  <si>
    <t>D.E.</t>
  </si>
  <si>
    <t>Tume</t>
  </si>
  <si>
    <t>Total 1P29 Alfredo Osco V.</t>
  </si>
  <si>
    <t>Jornal + Alm</t>
  </si>
  <si>
    <t>Basico</t>
  </si>
  <si>
    <t xml:space="preserve"> + Mov</t>
  </si>
  <si>
    <r>
      <t xml:space="preserve">  Factura del proveedor 0000001-0016550    </t>
    </r>
    <r>
      <rPr>
        <b/>
        <sz val="10"/>
        <rFont val="Arial"/>
        <family val="2"/>
      </rPr>
      <t xml:space="preserve">US$ 614.73    </t>
    </r>
  </si>
  <si>
    <t>116377-3081</t>
  </si>
  <si>
    <t>Mayte</t>
  </si>
  <si>
    <t>Permiso de Operación para Transporte de Mercancias en General</t>
  </si>
  <si>
    <t>Hormiguita</t>
  </si>
  <si>
    <t xml:space="preserve">1 MOISES JORGE AURELIO MIGLIORE ROSSI DNI: 08738303  A S/. 191-18093334-0-94 S/. 981.00 072011 072011 Sí  </t>
  </si>
  <si>
    <t>Comision</t>
  </si>
  <si>
    <t>Gravamenes</t>
  </si>
  <si>
    <t>Sedapal</t>
  </si>
  <si>
    <t>Luz del Sur</t>
  </si>
  <si>
    <t>Pg</t>
  </si>
  <si>
    <r>
      <t>J</t>
    </r>
    <r>
      <rPr>
        <sz val="10"/>
        <rFont val="Arial"/>
        <family val="2"/>
      </rPr>
      <t xml:space="preserve">uan </t>
    </r>
    <r>
      <rPr>
        <sz val="10"/>
        <color indexed="10"/>
        <rFont val="Arial"/>
        <family val="2"/>
      </rPr>
      <t>C</t>
    </r>
    <r>
      <rPr>
        <sz val="10"/>
        <rFont val="Arial"/>
        <family val="2"/>
      </rPr>
      <t xml:space="preserve">ortez </t>
    </r>
    <r>
      <rPr>
        <sz val="10"/>
        <color indexed="10"/>
        <rFont val="Arial"/>
        <family val="2"/>
      </rPr>
      <t>E</t>
    </r>
    <r>
      <rPr>
        <sz val="10"/>
        <rFont val="Arial"/>
        <family val="2"/>
      </rPr>
      <t>spinoza</t>
    </r>
  </si>
  <si>
    <t>344  B1Y-978</t>
  </si>
  <si>
    <t>C.Aho.S/. 193-15953323-0-66  Cesar Quispe Ramos    [                     ]</t>
  </si>
  <si>
    <t>ZG-3481</t>
  </si>
  <si>
    <t>0431840-5457682</t>
  </si>
  <si>
    <t>0805450-9261123</t>
  </si>
  <si>
    <t>0087807-8519847</t>
  </si>
  <si>
    <t>0287804-8923281</t>
  </si>
  <si>
    <t>0258466-6154867</t>
  </si>
  <si>
    <r>
      <t xml:space="preserve">  Factura del proveedor 000000001-06571    </t>
    </r>
    <r>
      <rPr>
        <b/>
        <sz val="10"/>
        <rFont val="Arial"/>
        <family val="2"/>
      </rPr>
      <t xml:space="preserve">US$ 287.55    </t>
    </r>
  </si>
  <si>
    <t>8.00 + 0.12</t>
  </si>
  <si>
    <t>Jose Pillaca Quispe</t>
  </si>
  <si>
    <t>Se solicito tacha. Se regulariza cambio de Motor Nº 11573353, Titulo Nº 2008-617721.</t>
  </si>
  <si>
    <t>Total 1P33   Antonio Mercado R.</t>
  </si>
  <si>
    <t xml:space="preserve">Hasta el </t>
  </si>
  <si>
    <t>Vencimiento de Rev-Tec</t>
  </si>
  <si>
    <t>TPC - RANSA</t>
  </si>
  <si>
    <t>0083822-1432935</t>
  </si>
  <si>
    <t>0083833-8041254</t>
  </si>
  <si>
    <t>0083839-6197170</t>
  </si>
  <si>
    <t>0083857-5352406</t>
  </si>
  <si>
    <t>6151-2227</t>
  </si>
  <si>
    <t>0D69</t>
  </si>
  <si>
    <t>6154-2228</t>
  </si>
  <si>
    <r>
      <t xml:space="preserve">122  </t>
    </r>
    <r>
      <rPr>
        <sz val="8"/>
        <color indexed="54"/>
        <rFont val="Arial"/>
        <family val="2"/>
      </rPr>
      <t>C3D-881</t>
    </r>
  </si>
  <si>
    <t>Aquiles Figueroa</t>
  </si>
  <si>
    <t>Augusto</t>
  </si>
  <si>
    <t>Operaciones</t>
  </si>
  <si>
    <t>Gerencia General</t>
  </si>
  <si>
    <r>
      <t xml:space="preserve">1 ALFONSO ALFREDO TAMARA PEDREROS DNI: 09061729  A S/. 193-15953327-0-70 </t>
    </r>
    <r>
      <rPr>
        <b/>
        <sz val="10"/>
        <color indexed="54"/>
        <rFont val="Arial"/>
        <family val="2"/>
      </rPr>
      <t>S/. 606.99</t>
    </r>
    <r>
      <rPr>
        <sz val="10"/>
        <color indexed="54"/>
        <rFont val="Arial"/>
        <family val="2"/>
      </rPr>
      <t xml:space="preserve"> 15 SETIEMBRE 15 SETIEMBRE Sí  </t>
    </r>
  </si>
  <si>
    <t>Balde 5Gln</t>
  </si>
  <si>
    <t>7987539</t>
  </si>
  <si>
    <t>C-301 Suarez Block-A</t>
  </si>
  <si>
    <t>Detec SA Corredores y Asesores de Seguros</t>
  </si>
  <si>
    <t>211-5638</t>
  </si>
  <si>
    <t>ZG-3485</t>
  </si>
  <si>
    <t>transportes@pecsa.com.pe</t>
  </si>
  <si>
    <t>Oftalmologia</t>
  </si>
  <si>
    <t>2008-433692</t>
  </si>
  <si>
    <t>8.06</t>
  </si>
  <si>
    <t>Carlos Jose Pillaca Quispe (carlosjose_2000@hotmail.com)</t>
  </si>
  <si>
    <t> 9580   </t>
  </si>
  <si>
    <t>58494-5486</t>
  </si>
  <si>
    <t>58461-5467</t>
  </si>
  <si>
    <t>Henry Selaya Ch. (-01V 12.00)</t>
  </si>
  <si>
    <t>Donaldo</t>
  </si>
  <si>
    <t>Torno</t>
  </si>
  <si>
    <t>3.37</t>
  </si>
  <si>
    <t>11382333  a 1 Pasajero</t>
  </si>
  <si>
    <t>0244163-1539660</t>
  </si>
  <si>
    <t>CERTF - INDECI</t>
  </si>
  <si>
    <t> 104455</t>
  </si>
  <si>
    <t> 6630    </t>
  </si>
  <si>
    <t> 46</t>
  </si>
  <si>
    <t> YG1442</t>
  </si>
  <si>
    <t> 150202992</t>
  </si>
  <si>
    <t>Total 1P28 Carlos Cubas D.</t>
  </si>
  <si>
    <t>Otracalle3</t>
  </si>
  <si>
    <t>Transf_BCP</t>
  </si>
  <si>
    <t>Total Cta.</t>
  </si>
  <si>
    <t>Saldo a pagar</t>
  </si>
  <si>
    <t>Monto pagado</t>
  </si>
  <si>
    <t>Pago en taller</t>
  </si>
  <si>
    <t>50 % adelanto al inicio de trabajo</t>
  </si>
  <si>
    <t>Dirección:</t>
  </si>
  <si>
    <t>Octavio Juarez P.</t>
  </si>
  <si>
    <t>EMM-10682</t>
  </si>
  <si>
    <t>???</t>
  </si>
  <si>
    <t>61342-5592</t>
  </si>
  <si>
    <t>elizabethlsv@hotmail.com</t>
  </si>
  <si>
    <t xml:space="preserve">Raffet Delgado Cangahuala </t>
  </si>
  <si>
    <t>raffetdc@molicom.com.pe</t>
  </si>
  <si>
    <t>1018943-4950746</t>
  </si>
  <si>
    <t>JUAN TORERO</t>
  </si>
  <si>
    <t>SRV-40-3-019</t>
  </si>
  <si>
    <t>0243514-1561200</t>
  </si>
  <si>
    <t> 123933</t>
  </si>
  <si>
    <t xml:space="preserve">   Av. Central Mz 48 Lt 59 Sector 2 Parque Porcino - Ventanilla</t>
  </si>
  <si>
    <t>Planchado</t>
  </si>
  <si>
    <t>2.81*+0.48=3.29</t>
  </si>
  <si>
    <t>58399-5437</t>
  </si>
  <si>
    <t>58384-5431</t>
  </si>
  <si>
    <t>58398-5436</t>
  </si>
  <si>
    <t xml:space="preserve"> 3  LUBCOM S.A.C.  RUC: 20521622629  C US$ 193-1832019-1-51 US$ 614.73 001-0016550 TAKUSHI 001-0016550 TAKUSHI Sí </t>
  </si>
  <si>
    <t>6163-2234</t>
  </si>
  <si>
    <t>1P22</t>
  </si>
  <si>
    <t>8409291HMISM002</t>
  </si>
  <si>
    <t>Autogenerado</t>
  </si>
  <si>
    <t>609521MHIMS0</t>
  </si>
  <si>
    <t>y por cantidades grandes llega a 0,20 soles osea 0,07 $ lo que manda el mercado</t>
  </si>
  <si>
    <t>avenegas@malaga-webb.com</t>
  </si>
  <si>
    <t>Es necesaria la autenticación para IMAP, POP3 y SMTP.</t>
  </si>
  <si>
    <t>44765325</t>
  </si>
  <si>
    <t>992-300-584</t>
  </si>
  <si>
    <t>Integra [Mix]</t>
  </si>
  <si>
    <t>Libre a vender</t>
  </si>
  <si>
    <t>221  C0X-974</t>
  </si>
  <si>
    <t>ebossio@autorex.com.pe</t>
  </si>
  <si>
    <t> 8630    </t>
  </si>
  <si>
    <t> 29</t>
  </si>
  <si>
    <t> YG1335</t>
  </si>
  <si>
    <t> 150202980</t>
  </si>
  <si>
    <t> 101117</t>
  </si>
  <si>
    <t>Telefono 616-2222 anexo 1830 o 1852</t>
  </si>
  <si>
    <t>insuqui@produce.gob.pe</t>
  </si>
  <si>
    <t>Pinasco, Claudia - SLPERU</t>
  </si>
  <si>
    <t>C.S.S.P.</t>
  </si>
  <si>
    <t>Esperanza</t>
  </si>
  <si>
    <t>Poma Flores</t>
  </si>
  <si>
    <t>[ANATEC]</t>
  </si>
  <si>
    <t>ANATEC</t>
  </si>
  <si>
    <t>epomaflores@hotmail.com</t>
  </si>
  <si>
    <t>Domingo</t>
  </si>
  <si>
    <t>Initials</t>
  </si>
  <si>
    <t>7.97</t>
  </si>
  <si>
    <t>3.31**</t>
  </si>
  <si>
    <t>2.59</t>
  </si>
  <si>
    <t>un gusto de comunicarme con ud. ing Carlos.</t>
  </si>
  <si>
    <t>Capital</t>
  </si>
  <si>
    <t>72 / W-924 / 123935</t>
  </si>
  <si>
    <t>2008-433940</t>
  </si>
  <si>
    <t> 150915177</t>
  </si>
  <si>
    <t> 6920    </t>
  </si>
  <si>
    <t>01 surtidor completo 01 grupo electrogeno, 01 compresora, 01 engrasadora, 02 aceiteras, 01 computadora, 01 escritorio y silla. Herramientas a cargo</t>
  </si>
  <si>
    <t>Desripcion de areas</t>
  </si>
  <si>
    <t>Descripcion de componentes</t>
  </si>
  <si>
    <t> 6990    </t>
  </si>
  <si>
    <t xml:space="preserve">Haberes  000568  C  S/.  191-0873085-0-39 - TRANSCOSTA S.A.  -  -  -  varios  S-39  S/.  1,414.65  30/09/2011  Parcialmente firmada  </t>
  </si>
  <si>
    <t>31/12/2012</t>
  </si>
  <si>
    <t>Calledeltrabajo</t>
  </si>
  <si>
    <t>01/07/2012</t>
  </si>
  <si>
    <t>Movistar 23-07-15 12:08</t>
  </si>
  <si>
    <t> 44</t>
  </si>
  <si>
    <t>Cuadrado de aluminio grueso No Oficial</t>
  </si>
  <si>
    <t>Sin Marca</t>
  </si>
  <si>
    <t>Rectificacion de Oficio: 2008-498183</t>
  </si>
  <si>
    <t>Viernes 23-10-15  de 11 1pm instalacion</t>
  </si>
  <si>
    <t>Lunes 26-10-15  de 2 4pm instalacion</t>
  </si>
  <si>
    <t>saori_dis_15@hotmail.com</t>
  </si>
  <si>
    <t>167  F3P-863</t>
  </si>
  <si>
    <t>204  D1Y-988</t>
  </si>
  <si>
    <t>228  D1Y-989</t>
  </si>
  <si>
    <t>229  D1X-982</t>
  </si>
  <si>
    <t>302  D1Y-990</t>
  </si>
  <si>
    <t>308  D1X-983</t>
  </si>
  <si>
    <t>324  D1Y-991</t>
  </si>
  <si>
    <t>DVega@pecsa.com.pe</t>
  </si>
  <si>
    <t>Claudia.Pinasco@latam.shell.com</t>
  </si>
  <si>
    <t>terminado</t>
  </si>
  <si>
    <t>Total de D-2</t>
  </si>
  <si>
    <t>000456</t>
  </si>
  <si>
    <r>
      <t xml:space="preserve">Se regulariza cambio de motor Nº 10716832. Titulo Nº 2008-770225   </t>
    </r>
    <r>
      <rPr>
        <u/>
        <sz val="10"/>
        <color indexed="10"/>
        <rFont val="Arial"/>
        <family val="2"/>
      </rPr>
      <t>Transcosta S. A.C.</t>
    </r>
    <r>
      <rPr>
        <sz val="10"/>
        <color indexed="10"/>
        <rFont val="Arial"/>
        <family val="2"/>
      </rPr>
      <t xml:space="preserve">     Rectificacion de Oficio Color Titulo 2008-795753</t>
    </r>
  </si>
  <si>
    <t>NOMBRE</t>
  </si>
  <si>
    <t>CORREO ELECTRONICO</t>
  </si>
  <si>
    <t>Jorge Malaga C.</t>
  </si>
  <si>
    <t>jlm@transcosta.com.pe</t>
  </si>
  <si>
    <t>Jorge Luis Malaga Bekich</t>
  </si>
  <si>
    <t>J.L.M.B.</t>
  </si>
  <si>
    <t>Carbajal - Yahoo</t>
  </si>
  <si>
    <t>577-5333</t>
  </si>
  <si>
    <t>TC01</t>
  </si>
  <si>
    <t>TC02</t>
  </si>
  <si>
    <t> 150203013</t>
  </si>
  <si>
    <t> 113916</t>
  </si>
  <si>
    <t> 150203048</t>
  </si>
  <si>
    <t> SRV-40-3-035</t>
  </si>
  <si>
    <t> 18</t>
  </si>
  <si>
    <t>maguirre@lubcom.pe</t>
  </si>
  <si>
    <t>MEDICINA GENERAL</t>
  </si>
  <si>
    <t>Hora</t>
  </si>
  <si>
    <t>Médico</t>
  </si>
  <si>
    <t>Francisco</t>
  </si>
  <si>
    <t>Yllaconza</t>
  </si>
  <si>
    <t> 9990   </t>
  </si>
  <si>
    <t> 9560   </t>
  </si>
  <si>
    <t>150913198 / 53027-A</t>
  </si>
  <si>
    <t>italo_cordano@hotmail.com</t>
  </si>
  <si>
    <t xml:space="preserve">Carlos Pillaca Quispe </t>
  </si>
  <si>
    <t>Carlos.Pillaca@scotiabank.com.pe</t>
  </si>
  <si>
    <r>
      <t xml:space="preserve">IMPRESA / </t>
    </r>
    <r>
      <rPr>
        <b/>
        <sz val="14"/>
        <rFont val="Arial"/>
        <family val="2"/>
      </rPr>
      <t>NO</t>
    </r>
    <r>
      <rPr>
        <sz val="10"/>
        <rFont val="Arial"/>
        <family val="2"/>
      </rPr>
      <t xml:space="preserve"> PAGADO</t>
    </r>
  </si>
  <si>
    <t>992300584</t>
  </si>
  <si>
    <t>Carmen</t>
  </si>
  <si>
    <t>997308183</t>
  </si>
  <si>
    <t>Servicio Cond</t>
  </si>
  <si>
    <t>A.G.S.</t>
  </si>
  <si>
    <t>José</t>
  </si>
  <si>
    <t>SERVOSA SHELL</t>
  </si>
  <si>
    <t xml:space="preserve">Violeta Cadenillas Villanueva </t>
  </si>
  <si>
    <t>RELACION DE ESTACIONES DE COESTI S.A.</t>
  </si>
  <si>
    <t>MARIBEL QUISPE HERRERA   41692877</t>
  </si>
  <si>
    <t>Tapia</t>
  </si>
  <si>
    <t>59008-5495</t>
  </si>
  <si>
    <t>Base Uretano  (KIT) color negro</t>
  </si>
  <si>
    <t>Número de Placa de Rodaje</t>
  </si>
  <si>
    <t>MIN-PRODUCCION</t>
  </si>
  <si>
    <t>TPC – SAN AGUSTÍN</t>
  </si>
  <si>
    <t>Arangoitia</t>
  </si>
  <si>
    <t>Pag_Mens</t>
  </si>
  <si>
    <t xml:space="preserve">Alfonso </t>
  </si>
  <si>
    <t> 83</t>
  </si>
  <si>
    <t>Cesar de la Cruz Llamocca :  981-796-047</t>
  </si>
  <si>
    <r>
      <t>Memorandum - Sem 31/2012</t>
    </r>
    <r>
      <rPr>
        <b/>
        <sz val="12"/>
        <rFont val="Arial"/>
        <family val="2"/>
      </rPr>
      <t xml:space="preserve">   </t>
    </r>
    <r>
      <rPr>
        <sz val="12"/>
        <rFont val="Arial"/>
        <family val="2"/>
      </rPr>
      <t xml:space="preserve">-   </t>
    </r>
    <r>
      <rPr>
        <sz val="10"/>
        <rFont val="Arial"/>
        <family val="2"/>
      </rPr>
      <t>Fecha: 08/08/12</t>
    </r>
  </si>
  <si>
    <t>Total 1D56</t>
  </si>
  <si>
    <t>+51 (1) 999727143</t>
  </si>
  <si>
    <t>El costo por la costura es para cantidades pequeñas 2.2 soles y para cantidades grandes como de 400 para arriba</t>
  </si>
  <si>
    <t>Shell Lubricantes del Peru</t>
  </si>
  <si>
    <t>csc-speru@latam.shell.com</t>
  </si>
  <si>
    <t>W.J.C.M.</t>
  </si>
  <si>
    <t>Rafael</t>
  </si>
  <si>
    <t>Vizcarra -</t>
  </si>
  <si>
    <t>s/p</t>
  </si>
  <si>
    <t>150911623 / 51167-A</t>
  </si>
  <si>
    <t>0150888-8460060</t>
  </si>
  <si>
    <t>Ok 14/11</t>
  </si>
  <si>
    <t>E/S FLORA TRISTAN</t>
  </si>
  <si>
    <t>SRV-40-3-147</t>
  </si>
  <si>
    <t>ZG-7860</t>
  </si>
  <si>
    <t>SRV-30-3-245</t>
  </si>
  <si>
    <t>Onomásticos del Personal</t>
  </si>
  <si>
    <t>William Soto</t>
  </si>
  <si>
    <t>Rt</t>
  </si>
  <si>
    <t>TOYOTA Corona plateado</t>
  </si>
  <si>
    <t>DAEWOO Leganza</t>
  </si>
  <si>
    <t>KIA Sorento</t>
  </si>
  <si>
    <t>areano@contrans.com.pe</t>
  </si>
  <si>
    <t>MENDEZ MALLQUI EDWIN CESAR</t>
  </si>
  <si>
    <t>Venc-CHIP_GNV</t>
  </si>
  <si>
    <t>Peru Creativo EIRL [Hosting]</t>
  </si>
  <si>
    <t>PERU CREATIVO [Hosting]</t>
  </si>
  <si>
    <t>Pintura Glasurit Uretana  - Color NEGRO</t>
  </si>
  <si>
    <t>11353829   a 1 Pasajero</t>
  </si>
  <si>
    <t>3.31</t>
  </si>
  <si>
    <t>65638-9246</t>
  </si>
  <si>
    <t>2.81*</t>
  </si>
  <si>
    <t>2.58 + 0.01</t>
  </si>
  <si>
    <t>69 / W-924 / 113922</t>
  </si>
  <si>
    <t>2008-433941</t>
  </si>
  <si>
    <t>Eddy</t>
  </si>
  <si>
    <t>Gasolina</t>
  </si>
  <si>
    <t>Kenworth</t>
  </si>
  <si>
    <t>YG-1647</t>
  </si>
  <si>
    <t>Faja ventilador TR-28501</t>
  </si>
  <si>
    <t>fvilcapoma@unimar.com.pe</t>
  </si>
  <si>
    <t>Fanny Vilcapoma</t>
  </si>
  <si>
    <t>F.V.</t>
  </si>
  <si>
    <r>
      <t xml:space="preserve">200  </t>
    </r>
    <r>
      <rPr>
        <sz val="9"/>
        <rFont val="Arial"/>
        <family val="2"/>
      </rPr>
      <t>ZG-6706</t>
    </r>
  </si>
  <si>
    <t>ZG-6712</t>
  </si>
  <si>
    <t>Télex</t>
  </si>
  <si>
    <t>Account</t>
  </si>
  <si>
    <t>Pintura Sintetico BLANCO</t>
  </si>
  <si>
    <t>Antonio Rodriguez</t>
  </si>
  <si>
    <t>971568488</t>
  </si>
  <si>
    <t>Julio Cardenas</t>
  </si>
  <si>
    <t>942156205</t>
  </si>
  <si>
    <t>Jorge Huamaní</t>
  </si>
  <si>
    <t>971567652</t>
  </si>
  <si>
    <t>Fredy Gaitan</t>
  </si>
  <si>
    <t>942152819</t>
  </si>
  <si>
    <t>a_villaran@hotmail.com</t>
  </si>
  <si>
    <t>72 / W-924 / 123937</t>
  </si>
  <si>
    <t>Segundo Andres Lazo Silvano                DNI 44897025</t>
  </si>
  <si>
    <t>Tributo  02097</t>
  </si>
  <si>
    <t>Tributo  02100</t>
  </si>
  <si>
    <t>Licencia de armas nuevas</t>
  </si>
  <si>
    <t>7.81+0.12+0.07</t>
  </si>
  <si>
    <t>2.86*+0.48=3.34</t>
  </si>
  <si>
    <t xml:space="preserve">Elizabeth Sena V. </t>
  </si>
  <si>
    <t>65641-9248</t>
  </si>
  <si>
    <t>65643-9249</t>
  </si>
  <si>
    <t>Language1</t>
  </si>
  <si>
    <t>S.S.M.M.A.J.</t>
  </si>
  <si>
    <t>claudia</t>
  </si>
  <si>
    <t>c.</t>
  </si>
  <si>
    <t>jose</t>
  </si>
  <si>
    <t>j.</t>
  </si>
  <si>
    <t>SOTO TINOCO WILLIAN</t>
  </si>
  <si>
    <t>018321</t>
  </si>
  <si>
    <t>08238398</t>
  </si>
  <si>
    <t>GOMEZ GONGORA, HILDA LUCILA</t>
  </si>
  <si>
    <t> SRV-40-3-051</t>
  </si>
  <si>
    <t> 8</t>
  </si>
  <si>
    <t>Fernando Zavala</t>
  </si>
  <si>
    <t>jfzc78@gmail.com</t>
  </si>
  <si>
    <t>2008-448062</t>
  </si>
  <si>
    <t>150912477 / 52343-A</t>
  </si>
  <si>
    <t>86750-4445</t>
  </si>
  <si>
    <t>190391-4480970</t>
  </si>
  <si>
    <t>115118-5479428</t>
  </si>
  <si>
    <t>Total 1D77</t>
  </si>
  <si>
    <t>Chofer-Trayler</t>
  </si>
  <si>
    <t>Patio-Unidades</t>
  </si>
  <si>
    <t xml:space="preserve">Calculo Promedio de Consumo de Toyota Land Cruiser - PRADO </t>
  </si>
  <si>
    <t>Recorrido Kms</t>
  </si>
  <si>
    <t>Caballero</t>
  </si>
  <si>
    <t xml:space="preserve"> Publicidad Registral en Línea  - SUNARP</t>
  </si>
  <si>
    <t>Cosme</t>
  </si>
  <si>
    <t>Angel</t>
  </si>
  <si>
    <t>Walter</t>
  </si>
  <si>
    <t>Queuña</t>
  </si>
  <si>
    <t>ZG-1507</t>
  </si>
  <si>
    <r>
      <t xml:space="preserve">F5D-932 </t>
    </r>
    <r>
      <rPr>
        <sz val="7"/>
        <rFont val="Lucida Fax"/>
        <family val="1"/>
      </rPr>
      <t>OO-6373</t>
    </r>
  </si>
  <si>
    <t> 28200  </t>
  </si>
  <si>
    <t>Puerto IMAP: 993</t>
  </si>
  <si>
    <t>Apellidos</t>
  </si>
  <si>
    <t>Suffix</t>
  </si>
  <si>
    <t>Organización</t>
  </si>
  <si>
    <t>PERTENECE A : T R A N S C O S T A  S. A. C.</t>
  </si>
  <si>
    <t>nº Int</t>
  </si>
  <si>
    <t>Total 0D18   Miguel Tejada Ll.</t>
  </si>
  <si>
    <t> 86</t>
  </si>
  <si>
    <r>
      <t xml:space="preserve">209  </t>
    </r>
    <r>
      <rPr>
        <sz val="9"/>
        <rFont val="Arial"/>
        <family val="2"/>
      </rPr>
      <t>ZG-6765</t>
    </r>
  </si>
  <si>
    <t> 76</t>
  </si>
  <si>
    <t>ZAVALA CARBAJAL JORGE EUGENIO</t>
  </si>
  <si>
    <t>pedidos@limacaucho.com.pe</t>
  </si>
  <si>
    <t>0236416-4053200</t>
  </si>
  <si>
    <t xml:space="preserve">Galones </t>
  </si>
  <si>
    <t> 150911605</t>
  </si>
  <si>
    <t> 150915173</t>
  </si>
  <si>
    <t> Remolque</t>
  </si>
  <si>
    <t>OP01</t>
  </si>
  <si>
    <t>OP02</t>
  </si>
  <si>
    <t>OP03</t>
  </si>
  <si>
    <t>OP04</t>
  </si>
  <si>
    <t>OP05</t>
  </si>
  <si>
    <t>OP06</t>
  </si>
  <si>
    <t>OP07</t>
  </si>
  <si>
    <t>OP08</t>
  </si>
  <si>
    <t> 150203077</t>
  </si>
  <si>
    <t> MMRR00399</t>
  </si>
  <si>
    <r>
      <t>Nota</t>
    </r>
    <r>
      <rPr>
        <sz val="10"/>
        <rFont val="Arial Narrow"/>
        <family val="2"/>
      </rPr>
      <t>: seleccionar 06 unidades para alquiler a RANSA, a estas unidades los sres. De RANSA le cambiaran los</t>
    </r>
  </si>
  <si>
    <t> 150203059</t>
  </si>
  <si>
    <t>72 / W-924 / 123933</t>
  </si>
  <si>
    <t>2008-433943</t>
  </si>
  <si>
    <t>Accesorio</t>
  </si>
  <si>
    <t>Av. Javier Prado Oeste 2504</t>
  </si>
  <si>
    <t>Total 1D28</t>
  </si>
  <si>
    <t>untperucamion@terra.com.pe</t>
  </si>
  <si>
    <t>N° Constancia</t>
  </si>
  <si>
    <t> 150913198</t>
  </si>
  <si>
    <t>Av. Camino del Inca 110-134</t>
  </si>
  <si>
    <t>Huinchu</t>
  </si>
  <si>
    <t>SRV-40-3-012</t>
  </si>
  <si>
    <t>SRP-40-3</t>
  </si>
  <si>
    <t>Málaga</t>
  </si>
  <si>
    <t>Tiene 03 techos de tolvas cementeras</t>
  </si>
  <si>
    <t>ZG-1682</t>
  </si>
  <si>
    <t>Empresa : Transcosta S.A.C.    R.U.C. : 20100019354</t>
  </si>
  <si>
    <t>Pintura Gloss ROJO</t>
  </si>
  <si>
    <t>Diciembre-Gratif</t>
  </si>
  <si>
    <t>Total al Año</t>
  </si>
  <si>
    <t>Promed_Mensual</t>
  </si>
  <si>
    <t>jquinones@bcp.com.pe</t>
  </si>
  <si>
    <t>Jose Antonio Quiñones</t>
  </si>
  <si>
    <t>J.A.Q.</t>
  </si>
  <si>
    <t>Grados -</t>
  </si>
  <si>
    <t>MGrados@pecsa.com.pe</t>
  </si>
  <si>
    <t>Ernesto Bossio</t>
  </si>
  <si>
    <t>E.B.</t>
  </si>
  <si>
    <t>Nestor</t>
  </si>
  <si>
    <t>SLPERU</t>
  </si>
  <si>
    <t> 13</t>
  </si>
  <si>
    <t>LF-750D</t>
  </si>
  <si>
    <t>Se consideraba : Julio Sencia [Limpieza] S/. 150.00=x Semana ( 4 semanas = 1mes )</t>
  </si>
  <si>
    <t>Predios y Arbitrios San Isidro</t>
  </si>
  <si>
    <t>Tc 1US$ =&gt;S/.2.62</t>
  </si>
  <si>
    <t>61321-5587</t>
  </si>
  <si>
    <t>61322-5588</t>
  </si>
  <si>
    <t>61325-5589</t>
  </si>
  <si>
    <t>TPC – RANSA SAN AGUSTIN</t>
  </si>
  <si>
    <t>285324-4867867</t>
  </si>
  <si>
    <t>285264-4363503</t>
  </si>
  <si>
    <t>DATSUN MARFIL</t>
  </si>
  <si>
    <t> ZG6831</t>
  </si>
  <si>
    <t> 150203049</t>
  </si>
  <si>
    <t>Apartadopostaldeladirecciónpersonal</t>
  </si>
  <si>
    <t>AssistantsName</t>
  </si>
  <si>
    <t> ZG8181</t>
  </si>
  <si>
    <t> 150203069</t>
  </si>
  <si>
    <t>0074442-4981460</t>
  </si>
  <si>
    <t> 150913208</t>
  </si>
  <si>
    <t> 150913209</t>
  </si>
  <si>
    <t>Importe Mensual Aprox S/.</t>
  </si>
  <si>
    <t xml:space="preserve"> 1.-</t>
  </si>
  <si>
    <t>Patricia SLPERU</t>
  </si>
  <si>
    <t>A.E.E.P.F.</t>
  </si>
  <si>
    <t>Total Gastos</t>
  </si>
  <si>
    <t>Gratificacion</t>
  </si>
  <si>
    <t>Agosto</t>
  </si>
  <si>
    <t>C.J.P.Q.</t>
  </si>
  <si>
    <t> 150915178</t>
  </si>
  <si>
    <t> 8S9238NP58LV31056</t>
  </si>
  <si>
    <t> 2008</t>
  </si>
  <si>
    <t>150913200 / 53029-A</t>
  </si>
  <si>
    <t>FREUHAUF</t>
  </si>
  <si>
    <t>carlosjose_2000@hotmail.com</t>
  </si>
  <si>
    <t>Auto Toyota Gris corolla</t>
  </si>
  <si>
    <t>0254808-4036648</t>
  </si>
  <si>
    <t>224  C0T-999</t>
  </si>
  <si>
    <t>226  C0V-977</t>
  </si>
  <si>
    <t>502 C0V-980</t>
  </si>
  <si>
    <t>El Trabajo de fibra de vidrio se hace en Transcosta</t>
  </si>
  <si>
    <t> 150202987</t>
  </si>
  <si>
    <t> 40</t>
  </si>
  <si>
    <t> YG1386</t>
  </si>
  <si>
    <t>0085086-6251123</t>
  </si>
  <si>
    <t> 150915174</t>
  </si>
  <si>
    <t> 150911603</t>
  </si>
  <si>
    <t>D.V.</t>
  </si>
  <si>
    <t>DINA SOLEDAD</t>
  </si>
  <si>
    <t> 150202904</t>
  </si>
  <si>
    <t> Remolcador</t>
  </si>
  <si>
    <t> 101122</t>
  </si>
  <si>
    <t> 1963</t>
  </si>
  <si>
    <t> 3</t>
  </si>
  <si>
    <t> 7860   </t>
  </si>
  <si>
    <t xml:space="preserve">  Unidades con CERTIFICADO DE CONFORMIDAD ( UNI ) y cambio de Medidas ORLC</t>
  </si>
  <si>
    <t> 42</t>
  </si>
  <si>
    <t>YG-6162</t>
  </si>
  <si>
    <t>2008-433942</t>
  </si>
  <si>
    <t>3.38**</t>
  </si>
  <si>
    <t>2.52</t>
  </si>
  <si>
    <t>Percy Diez Quiñones</t>
  </si>
  <si>
    <t>P.D.Q.</t>
  </si>
  <si>
    <r>
      <t>Memorandum - Sem 18/2013</t>
    </r>
    <r>
      <rPr>
        <b/>
        <sz val="12"/>
        <rFont val="Courier Final Draft"/>
        <family val="3"/>
      </rPr>
      <t xml:space="preserve">   </t>
    </r>
    <r>
      <rPr>
        <sz val="12"/>
        <rFont val="Courier Final Draft"/>
        <family val="3"/>
      </rPr>
      <t xml:space="preserve">-   </t>
    </r>
    <r>
      <rPr>
        <sz val="10"/>
        <rFont val="Courier Final Draft"/>
        <family val="3"/>
      </rPr>
      <t>Fecha: 07/05/13</t>
    </r>
  </si>
  <si>
    <t>Dennis Ramos Mauricio</t>
  </si>
  <si>
    <t>AREA de Grifo - taller</t>
  </si>
  <si>
    <t>AREA de Comedor</t>
  </si>
  <si>
    <t>SRV-40-3-125</t>
  </si>
  <si>
    <t>SRV-40-3-146</t>
  </si>
  <si>
    <t>V.M.</t>
  </si>
  <si>
    <t>6206-2268</t>
  </si>
  <si>
    <t> YG6126</t>
  </si>
  <si>
    <t>Noviembre</t>
  </si>
  <si>
    <t>Diciembre</t>
  </si>
  <si>
    <t>Suma Total del año</t>
  </si>
  <si>
    <t>Ciudad en la que se inscribio</t>
  </si>
  <si>
    <t> LIMA</t>
  </si>
  <si>
    <t>Modelo :</t>
  </si>
  <si>
    <t xml:space="preserve">Clase : </t>
  </si>
  <si>
    <t>STAT.WAGON</t>
  </si>
  <si>
    <t>jctume@fcca.com.pe</t>
  </si>
  <si>
    <t>Hernan</t>
  </si>
  <si>
    <t>Borja</t>
  </si>
  <si>
    <t>Ortiz</t>
  </si>
  <si>
    <t>7167875</t>
  </si>
  <si>
    <t>Tipo de Personeria</t>
  </si>
  <si>
    <t>Operador</t>
  </si>
  <si>
    <t>Relacion de Trabajadores de Transcosta S.A.C.</t>
  </si>
  <si>
    <t>41*343*3745</t>
  </si>
  <si>
    <t>J. Hinostroza</t>
  </si>
  <si>
    <t>ASOCIACION NACIONAL DEL TRANSPORTE TERRESTRE DE CARGA</t>
  </si>
  <si>
    <t>JAIME LIZARBE CARDENAS 09037426</t>
  </si>
  <si>
    <t>MEGAPLAZA</t>
  </si>
  <si>
    <t> SRV-40-3-050</t>
  </si>
  <si>
    <t> 6</t>
  </si>
  <si>
    <t> ZG6936</t>
  </si>
  <si>
    <t> 150203058</t>
  </si>
  <si>
    <t> SRV-30-3-249</t>
  </si>
  <si>
    <t> 19</t>
  </si>
  <si>
    <t> ZG8742</t>
  </si>
  <si>
    <t>CABRERA GALVEZ JOSE CLAUDIO</t>
  </si>
  <si>
    <t>16617779</t>
  </si>
  <si>
    <t>11382330  a 1 Pasajero</t>
  </si>
  <si>
    <t>7.85+0.12+0.04</t>
  </si>
  <si>
    <t>2.86*+0.53=3.39</t>
  </si>
  <si>
    <t>69 / W924A / 113916</t>
  </si>
  <si>
    <t>2008-433688</t>
  </si>
  <si>
    <t>3.39</t>
  </si>
  <si>
    <t> 150202993</t>
  </si>
  <si>
    <t> 106514</t>
  </si>
  <si>
    <t>Inventario Actualizado de Usuarios y PCs, operativas y en uso.</t>
  </si>
  <si>
    <t>01Cargador de Baterias 01 Motor comprob de Alternadores 01 prensa de tornillo</t>
  </si>
  <si>
    <t>Enero, Febrero</t>
  </si>
  <si>
    <t> H-027</t>
  </si>
  <si>
    <t>72 / W-924 / 123932</t>
  </si>
  <si>
    <t>SRV-40-3</t>
  </si>
  <si>
    <t>ToLva Granelero</t>
  </si>
  <si>
    <t>SRV-30-3</t>
  </si>
  <si>
    <t>Operativo</t>
  </si>
  <si>
    <t>Inoperativo</t>
  </si>
  <si>
    <t>Mes - Inspección</t>
  </si>
  <si>
    <t xml:space="preserve"> 2  LUBRICANTES PREMIUM S.A.C.  RUC: 20507341706  C US$ 191-1191469-1-48 US$ 287.55 001-06571 TAKUSHI 001-06571 TAKUSHI Sí </t>
  </si>
  <si>
    <t>ISDN</t>
  </si>
  <si>
    <t>Otraprovinciaoestado</t>
  </si>
  <si>
    <t> 104462</t>
  </si>
  <si>
    <t>· Ropa para Bebés · Ropa para Niños · Ajuares · Pijama para Niños · Chaquetas · Babitas · Cafarenas · Baberos · Overoles · Zapatitos.</t>
  </si>
  <si>
    <t>Fredy</t>
  </si>
  <si>
    <t>Hermogenes</t>
  </si>
  <si>
    <t>PESO SECO</t>
  </si>
  <si>
    <t xml:space="preserve">LONGITUD </t>
  </si>
  <si>
    <t>ALTURA</t>
  </si>
  <si>
    <t>FWD-750207</t>
  </si>
  <si>
    <t>FWD-250206</t>
  </si>
  <si>
    <t>HAUG</t>
  </si>
  <si>
    <t>H-015</t>
  </si>
  <si>
    <t>08451802</t>
  </si>
  <si>
    <t>ALTAMIRANO SILVERA ALFREDO</t>
  </si>
  <si>
    <t>25528635</t>
  </si>
  <si>
    <t>ABREGU CORDOVA ERASMO</t>
  </si>
  <si>
    <t>25457888</t>
  </si>
  <si>
    <t>CUADROS NOLASCO TEOFILO</t>
  </si>
  <si>
    <t>18/11/2013</t>
  </si>
  <si>
    <t>09956456</t>
  </si>
  <si>
    <t>LICERAS MERINO VICTOR RAUL</t>
  </si>
  <si>
    <t>09658463</t>
  </si>
  <si>
    <t>J.Z.C.t.t.</t>
  </si>
  <si>
    <t>01 en cascada, en TALLERES(mantenimiento), Origen en MANTENIMIENTO</t>
  </si>
  <si>
    <t>com</t>
  </si>
  <si>
    <t>mqh10@hotmail.com</t>
  </si>
  <si>
    <t>000430</t>
  </si>
  <si>
    <t>SOAT</t>
  </si>
  <si>
    <t>N.Aplic</t>
  </si>
  <si>
    <t>Vilcas</t>
  </si>
  <si>
    <t>Dennis</t>
  </si>
  <si>
    <t>59029-5511</t>
  </si>
  <si>
    <t>59026-5508</t>
  </si>
  <si>
    <t>Salida a Internet, Speedy Bussines 900  en ADMINISTRACION</t>
  </si>
  <si>
    <t>002138</t>
  </si>
  <si>
    <t>000427</t>
  </si>
  <si>
    <t>000429</t>
  </si>
  <si>
    <t>Parciales</t>
  </si>
  <si>
    <t>Pedro</t>
  </si>
  <si>
    <t>Llauce</t>
  </si>
  <si>
    <t>Miguel</t>
  </si>
  <si>
    <t>Key_Path</t>
  </si>
  <si>
    <t>Distribución - Transcosta S.A.C.</t>
  </si>
  <si>
    <t>Nombredepantalladecorreoelectrónico3</t>
  </si>
  <si>
    <t>Cesar.Tantalean@latam.shell.com</t>
  </si>
  <si>
    <t>Casapia</t>
  </si>
  <si>
    <t>CONTABILIDAD COMPUTARIZADA   (noche)</t>
  </si>
  <si>
    <t>Codigo: 33021-CC       200403782</t>
  </si>
  <si>
    <t>DIRECTO	Directo  :       717-7159Nextel     :       812*7332RPM        :       #750906_x000D_
CENTRAL 	7157307 – Anexo:   314</t>
  </si>
  <si>
    <t>6136921</t>
  </si>
  <si>
    <t>998127332</t>
  </si>
  <si>
    <t>Faja ventilador Gates TR-28492</t>
  </si>
  <si>
    <t>Faja bomba de agua TR-24400</t>
  </si>
  <si>
    <t> 150915171</t>
  </si>
  <si>
    <t> 150915170</t>
  </si>
  <si>
    <t>MONTAÑEZ PAJUELO PATRICIO</t>
  </si>
  <si>
    <r>
      <t xml:space="preserve">Haberes  000553  C  S/.  191-0873085-0-39 - TRANSCOSTA S.A.  -  -  -  varios  S-32  </t>
    </r>
    <r>
      <rPr>
        <b/>
        <sz val="10"/>
        <rFont val="Arial"/>
        <family val="2"/>
      </rPr>
      <t>S/.  1,336.39</t>
    </r>
    <r>
      <rPr>
        <sz val="10"/>
        <rFont val="Arial"/>
        <family val="2"/>
      </rPr>
      <t xml:space="preserve">  12/08/2011  Parcialmente firmada  </t>
    </r>
  </si>
  <si>
    <t>Alejandro Cano</t>
  </si>
  <si>
    <t xml:space="preserve"> 1 IMPORTACIONES Y NEGOCIOS LA COLONIAL E.I.R.L.  RUC: 20508561513  C US$ 191-1527814-1-73 US$ 373.88 002-008271B TAKUSHI 002-008271B TAKUSHI Sí </t>
  </si>
  <si>
    <t>Horario 08:30 - 17:00</t>
  </si>
  <si>
    <t>DATSUN Marfil NLA10</t>
  </si>
  <si>
    <t>150913199 / 53028-A</t>
  </si>
  <si>
    <t>Daños: Parchoque cromado esta doblado hacia fuera</t>
  </si>
  <si>
    <t>Segundo Andres Lazo Silvano   DNI: 44897025</t>
  </si>
  <si>
    <r>
      <t xml:space="preserve">Vuelto </t>
    </r>
    <r>
      <rPr>
        <b/>
        <sz val="10"/>
        <rFont val="Agency FB"/>
        <family val="2"/>
      </rPr>
      <t>RENDIDO</t>
    </r>
    <r>
      <rPr>
        <sz val="10"/>
        <rFont val="Agency FB"/>
        <family val="2"/>
      </rPr>
      <t xml:space="preserve"> 09/07/08</t>
    </r>
  </si>
  <si>
    <t>Reintegro ORLC 17/07</t>
  </si>
  <si>
    <t>Tratado del 17/072008</t>
  </si>
  <si>
    <t>Obs MT</t>
  </si>
  <si>
    <t>Vigencia Poder ó Cop_Lit(2M ant)</t>
  </si>
  <si>
    <t> SRV-40-3-011</t>
  </si>
  <si>
    <t xml:space="preserve">Haberes  000671  C  S/.  193-1760052-0-02 - TRANSPORTE COMERCIAL Y SEGURO TAKUSHI S.  -  -  -  varios  15092011  S/.  3,356.90  16/09/2011  Pendiente de firma  </t>
  </si>
  <si>
    <t>Coba</t>
  </si>
  <si>
    <t>Thiner Acrilico</t>
  </si>
  <si>
    <t>1 und</t>
  </si>
  <si>
    <t>Expidieron tarjeta (falta motor). Se regulariza cambio de motor Nº 11353828, Titulo Nº 2008-627718.</t>
  </si>
  <si>
    <t>7.84+0.11+0.05</t>
  </si>
  <si>
    <t>2.85*+0.51=3.36</t>
  </si>
  <si>
    <t>Bellido Israel [Lima Caucho]</t>
  </si>
  <si>
    <t>Unidades ubicadas con frente a plataforma de estacionamiento de autos</t>
  </si>
  <si>
    <t>ZG-3482</t>
  </si>
  <si>
    <t>F.Ingreso</t>
  </si>
  <si>
    <t>MS Office Estándar (Word, Excel, Powerpoint)</t>
  </si>
  <si>
    <r>
      <t xml:space="preserve"> </t>
    </r>
    <r>
      <rPr>
        <sz val="8"/>
        <color indexed="12"/>
        <rFont val="Bookman Old Style"/>
        <family val="1"/>
      </rPr>
      <t xml:space="preserve">USB Modem - Telefonica </t>
    </r>
    <r>
      <rPr>
        <sz val="8"/>
        <rFont val="Bookman Old Style"/>
        <family val="1"/>
      </rPr>
      <t xml:space="preserve">[ </t>
    </r>
    <r>
      <rPr>
        <sz val="10"/>
        <color indexed="10"/>
        <rFont val="Bookman Old Style"/>
        <family val="1"/>
      </rPr>
      <t>995-080-727</t>
    </r>
    <r>
      <rPr>
        <sz val="8"/>
        <rFont val="Bookman Old Style"/>
        <family val="1"/>
      </rPr>
      <t>]</t>
    </r>
  </si>
  <si>
    <t>150911618 / 51746-A</t>
  </si>
  <si>
    <r>
      <t xml:space="preserve">Gracias </t>
    </r>
    <r>
      <rPr>
        <b/>
        <sz val="8"/>
        <color indexed="23"/>
        <rFont val="Verdana"/>
        <family val="2"/>
      </rPr>
      <t>CESAR  QUISPE .</t>
    </r>
  </si>
  <si>
    <t>Pagos a cuenta S/. :</t>
  </si>
  <si>
    <t>Octubre-Tiempo de servicio</t>
  </si>
  <si>
    <t>AUXILIAR DE ALMACEN</t>
  </si>
  <si>
    <t>01998131865</t>
  </si>
  <si>
    <t> 123934</t>
  </si>
  <si>
    <t> 54</t>
  </si>
  <si>
    <t> YG6123</t>
  </si>
  <si>
    <t>150911605 / 51735-A</t>
  </si>
  <si>
    <t>150913194 / 53023-A</t>
  </si>
  <si>
    <t>OP10</t>
  </si>
  <si>
    <t>J.S.</t>
  </si>
  <si>
    <t>Bekich</t>
  </si>
  <si>
    <t>Veselichich</t>
  </si>
  <si>
    <t>B.I.</t>
  </si>
  <si>
    <t> YG6124</t>
  </si>
  <si>
    <t> 150203000</t>
  </si>
  <si>
    <t>mano de obra</t>
  </si>
  <si>
    <t xml:space="preserve"> Informe MENSUAL de IQPF</t>
  </si>
  <si>
    <t>SRV-40-3-017</t>
  </si>
  <si>
    <t>ZG-6829</t>
  </si>
  <si>
    <t>JorgeM</t>
  </si>
  <si>
    <t>ItaloC</t>
  </si>
  <si>
    <t>César</t>
  </si>
  <si>
    <t>el kg de tela color  blanco esta en 23 soles le incluye el rib licrado para los cuellos</t>
  </si>
  <si>
    <t>1969 / W-924 / 113918</t>
  </si>
  <si>
    <t>Comunicaciones de Intranet</t>
  </si>
  <si>
    <t>spalomino@limacaucho.com.pe</t>
  </si>
  <si>
    <t>oswaldo</t>
  </si>
  <si>
    <t>velasquez</t>
  </si>
  <si>
    <t>paz</t>
  </si>
  <si>
    <t>estrella_12_996@hotmail.com</t>
  </si>
  <si>
    <t>OP21</t>
  </si>
  <si>
    <t>Vigencia de Poderes ó Copia Literal (ant. 30d)</t>
  </si>
  <si>
    <t>y si quiere que le ponga la tela me da el 50% de adelanto y el resto cuando le entrego el producto.</t>
  </si>
  <si>
    <t>Inf. De Relleno de D-2 en RANSA [Serv Antamina]</t>
  </si>
  <si>
    <t>004071-6201047</t>
  </si>
  <si>
    <t>1D67</t>
  </si>
  <si>
    <t>Octubre</t>
  </si>
  <si>
    <t>Mesas, Bancas, 01 televisor, 01 vitrina,01cocina semi-industrial, refrigeradoras, mrsas, bancas, utensilios</t>
  </si>
  <si>
    <t> ZG6765</t>
  </si>
  <si>
    <t>Jose Castañeda Tantalean</t>
  </si>
  <si>
    <t>Marcelo Ortiz Fernandez</t>
  </si>
  <si>
    <t>6169-2238</t>
  </si>
  <si>
    <t>6171-2239</t>
  </si>
  <si>
    <t>6173-2240</t>
  </si>
  <si>
    <t>6176-2241</t>
  </si>
  <si>
    <t>Procedencia</t>
  </si>
  <si>
    <t>Domicilio</t>
  </si>
  <si>
    <t>VEA</t>
  </si>
  <si>
    <t>6209-2269</t>
  </si>
  <si>
    <t>6212-2270</t>
  </si>
  <si>
    <t>Chilon</t>
  </si>
  <si>
    <t>Chumpitaz</t>
  </si>
  <si>
    <t>A.P.R.P.</t>
  </si>
  <si>
    <t>Percy</t>
  </si>
  <si>
    <t>SERVOSA</t>
  </si>
  <si>
    <t>Rectificacion de Oficio: 2008-481305</t>
  </si>
  <si>
    <t>Arturo Linares Tapia</t>
  </si>
  <si>
    <t>Mecanico</t>
  </si>
  <si>
    <t> 8000   </t>
  </si>
  <si>
    <t> 8500   </t>
  </si>
  <si>
    <t>Palomino, Shirley[Lima Caucho]</t>
  </si>
  <si>
    <t>0D50</t>
  </si>
  <si>
    <t>116364-3071</t>
  </si>
  <si>
    <t>0D47</t>
  </si>
  <si>
    <t>116365-3072</t>
  </si>
  <si>
    <t>0P75</t>
  </si>
  <si>
    <t>116366-3073</t>
  </si>
  <si>
    <t>B7Q-030</t>
  </si>
  <si>
    <t>LGC-509</t>
  </si>
  <si>
    <t>MOSCOSO RAMIREZ JUAN</t>
  </si>
  <si>
    <r>
      <t xml:space="preserve">F6M-624 </t>
    </r>
    <r>
      <rPr>
        <sz val="7"/>
        <rFont val="Lucida Fax"/>
        <family val="1"/>
      </rPr>
      <t>RQP-425</t>
    </r>
  </si>
  <si>
    <t> 33310   </t>
  </si>
  <si>
    <r>
      <t xml:space="preserve">1 </t>
    </r>
    <r>
      <rPr>
        <b/>
        <sz val="10"/>
        <color indexed="54"/>
        <rFont val="Arial"/>
        <family val="2"/>
      </rPr>
      <t>JOSE AUGUSTO CRUZADO BURGOS</t>
    </r>
    <r>
      <rPr>
        <sz val="10"/>
        <color indexed="54"/>
        <rFont val="Arial"/>
        <family val="2"/>
      </rPr>
      <t xml:space="preserve"> DNI: 27904592  A S/. 193-15953605-0-51 </t>
    </r>
    <r>
      <rPr>
        <b/>
        <u/>
        <sz val="10"/>
        <color indexed="54"/>
        <rFont val="Arial"/>
        <family val="2"/>
      </rPr>
      <t>S/. 621.43</t>
    </r>
    <r>
      <rPr>
        <sz val="10"/>
        <color indexed="54"/>
        <rFont val="Arial"/>
        <family val="2"/>
      </rPr>
      <t xml:space="preserve"> VACACIONES VACACIONES </t>
    </r>
  </si>
  <si>
    <t> 150912486</t>
  </si>
  <si>
    <t> 9820    </t>
  </si>
  <si>
    <t>000434</t>
  </si>
  <si>
    <t>6215-2271</t>
  </si>
  <si>
    <t>6218-2272</t>
  </si>
  <si>
    <t>6221-2273</t>
  </si>
  <si>
    <t>Total 0D47</t>
  </si>
  <si>
    <t>R.Y.L.</t>
  </si>
  <si>
    <t>XQ-9605</t>
  </si>
  <si>
    <t xml:space="preserve"> Sr. Julca</t>
  </si>
  <si>
    <t>150911609 / 51739-A</t>
  </si>
  <si>
    <t>CISTERNA</t>
  </si>
  <si>
    <t>S/Reg</t>
  </si>
  <si>
    <t xml:space="preserve">5444 0200 0054 4693 </t>
  </si>
  <si>
    <t>Unidades : PLATAFORMAS  DE 02 03 EJES</t>
  </si>
  <si>
    <t>116374-3078</t>
  </si>
  <si>
    <t>116375-3079</t>
  </si>
  <si>
    <t>1D64</t>
  </si>
  <si>
    <r>
      <t>205</t>
    </r>
    <r>
      <rPr>
        <b/>
        <sz val="9"/>
        <rFont val="Arial"/>
        <family val="2"/>
      </rPr>
      <t xml:space="preserve">  </t>
    </r>
    <r>
      <rPr>
        <sz val="9"/>
        <rFont val="Arial"/>
        <family val="2"/>
      </rPr>
      <t>ZG-6761</t>
    </r>
  </si>
  <si>
    <t>Rospigliosi</t>
  </si>
  <si>
    <t>R.</t>
  </si>
  <si>
    <t>Mano de Obra</t>
  </si>
  <si>
    <t> 8850    </t>
  </si>
  <si>
    <t> 150913197</t>
  </si>
  <si>
    <t>Tamara Hernandez</t>
  </si>
  <si>
    <t>T.H.</t>
  </si>
  <si>
    <t>Mesias</t>
  </si>
  <si>
    <t>Zavala</t>
  </si>
  <si>
    <t xml:space="preserve">   Semi Remolques  ( tolvas /  plataformas )</t>
  </si>
  <si>
    <t>7.83+0.14+0.06</t>
  </si>
  <si>
    <t>2.86*+0.61=3.47</t>
  </si>
  <si>
    <t> ZG9567</t>
  </si>
  <si>
    <t> SRV-30-3-245</t>
  </si>
  <si>
    <t> 1996</t>
  </si>
  <si>
    <t>Vehículos</t>
  </si>
  <si>
    <t>Frecuencia</t>
  </si>
  <si>
    <t>Antigüedad del vehículo (1)</t>
  </si>
  <si>
    <t>ehgarcia@pecsa.com.pe</t>
  </si>
  <si>
    <t>NISSAN Blanca TD27</t>
  </si>
  <si>
    <t>ESSALUD en Linea   :  411-8000</t>
  </si>
  <si>
    <t>01  Semana aproximadamente</t>
  </si>
  <si>
    <t>61341-5591</t>
  </si>
  <si>
    <t>1019582-4236889</t>
  </si>
  <si>
    <t>1018860-2808440</t>
  </si>
  <si>
    <t>1018862-3088370</t>
  </si>
  <si>
    <t>006822-2337360</t>
  </si>
  <si>
    <t>115444-8168690</t>
  </si>
  <si>
    <t>115458-9190726</t>
  </si>
  <si>
    <t>285955-9086047</t>
  </si>
  <si>
    <t>285952-7183175</t>
  </si>
  <si>
    <t>1404</t>
  </si>
  <si>
    <t>1407</t>
  </si>
  <si>
    <t>1406</t>
  </si>
  <si>
    <r>
      <t xml:space="preserve">A cuentas de terceros BCP   C  S/.  193-1760052-0-02 - </t>
    </r>
    <r>
      <rPr>
        <b/>
        <sz val="10"/>
        <color indexed="54"/>
        <rFont val="Arial"/>
        <family val="2"/>
      </rPr>
      <t xml:space="preserve">TRANSPORTE COMERCIAL Y SEGURO TAKUSHI S.  </t>
    </r>
    <r>
      <rPr>
        <sz val="10"/>
        <color indexed="54"/>
        <rFont val="Arial"/>
        <family val="2"/>
      </rPr>
      <t xml:space="preserve">C  S/.  191-0873085-0-39  </t>
    </r>
    <r>
      <rPr>
        <b/>
        <sz val="10"/>
        <color indexed="54"/>
        <rFont val="Arial"/>
        <family val="2"/>
      </rPr>
      <t xml:space="preserve">TRANSCOSTA S.A.  </t>
    </r>
    <r>
      <rPr>
        <sz val="10"/>
        <color indexed="54"/>
        <rFont val="Arial"/>
        <family val="2"/>
      </rPr>
      <t xml:space="preserve">TRANSCOSTA-TK  </t>
    </r>
    <r>
      <rPr>
        <b/>
        <u/>
        <sz val="10"/>
        <color indexed="54"/>
        <rFont val="Arial"/>
        <family val="2"/>
      </rPr>
      <t>S/.  1,617.00</t>
    </r>
    <r>
      <rPr>
        <b/>
        <sz val="10"/>
        <color indexed="54"/>
        <rFont val="Arial"/>
        <family val="2"/>
      </rPr>
      <t xml:space="preserve"> </t>
    </r>
  </si>
  <si>
    <t> 6990   </t>
  </si>
  <si>
    <t> 6960   </t>
  </si>
  <si>
    <t> 7660   </t>
  </si>
  <si>
    <t>A. Reaño</t>
  </si>
  <si>
    <t>Wong</t>
  </si>
  <si>
    <t> 113915</t>
  </si>
  <si>
    <t> 57</t>
  </si>
  <si>
    <t>Augusto A. Reaño Wong</t>
  </si>
  <si>
    <t>A.A.R.W.</t>
  </si>
  <si>
    <t>Diez</t>
  </si>
  <si>
    <t>59036-5516</t>
  </si>
  <si>
    <t>Paísoregióndeltrabajo</t>
  </si>
  <si>
    <t> YG6125</t>
  </si>
  <si>
    <t>- Lima: Canaval y Moreyra 540 – San Isidro</t>
  </si>
  <si>
    <t>Paciente</t>
  </si>
  <si>
    <t>338  D5F-996</t>
  </si>
  <si>
    <t>Vehiculos Menores</t>
  </si>
  <si>
    <t>x 205  ZG-6761</t>
  </si>
  <si>
    <t>411-4600 anexo 4697</t>
  </si>
  <si>
    <t>99632-0178</t>
  </si>
  <si>
    <t>rosario.malaga@albertasociados.com</t>
  </si>
  <si>
    <t>Loayza</t>
  </si>
  <si>
    <t>Sandra.Loayza@latam.shell.com</t>
  </si>
  <si>
    <t>Manifiesta estar asegurado por RIMAC</t>
  </si>
  <si>
    <t xml:space="preserve"> *** las reparaciones van por el seguro (SUPERFISH)</t>
  </si>
  <si>
    <t>Coneccion Recta</t>
  </si>
  <si>
    <t xml:space="preserve"> 1/4 x 1/4</t>
  </si>
  <si>
    <t>Zevallos</t>
  </si>
  <si>
    <t>008954</t>
  </si>
  <si>
    <t>Av. Central Mz 48 Lt 59 Sector 2 Parque Porcino - Ventanilla</t>
  </si>
  <si>
    <t>02 escritorios y sillas, 02 computadoras y 03 archivadores, 01 telefono</t>
  </si>
  <si>
    <t>Pintura AMARILLO TRAFICO</t>
  </si>
  <si>
    <t>Jose Cruzado Burgos : 414*7194</t>
  </si>
  <si>
    <t>PLANILLA SEMANAL - JORNALEROS</t>
  </si>
  <si>
    <t>Zavala Carbajal - takushi</t>
  </si>
  <si>
    <t>D.N.N.O.M.</t>
  </si>
  <si>
    <t>APELLIDOS Y NOMBRES</t>
  </si>
  <si>
    <t>193-15953457-0-01</t>
  </si>
  <si>
    <t>LIZARBE CARDENAS  JAIME</t>
  </si>
  <si>
    <t>UNIDADES  -  Tolvas</t>
  </si>
  <si>
    <t>Posicioin</t>
  </si>
  <si>
    <t>Cesar Ramirez</t>
  </si>
  <si>
    <t>PINTURA</t>
  </si>
  <si>
    <t>PACOTAYPE NUÑEZ PRICILIO JORGE</t>
  </si>
  <si>
    <t>http://www.tributacionperu.com</t>
  </si>
  <si>
    <t>amoscoso@pecsa.com.pe</t>
  </si>
  <si>
    <t>A Moscoso</t>
  </si>
  <si>
    <t>A.M.</t>
  </si>
  <si>
    <t> 8400    </t>
  </si>
  <si>
    <t> 7660    </t>
  </si>
  <si>
    <t>x 215  ZG-6936</t>
  </si>
  <si>
    <t>x 219  ZG-7092</t>
  </si>
  <si>
    <t>López</t>
  </si>
  <si>
    <t>PENDIENTE :  Conversion de unidades de 03 a 02 ejes (Plataformas)</t>
  </si>
  <si>
    <r>
      <t>Haberes</t>
    </r>
    <r>
      <rPr>
        <sz val="10"/>
        <color indexed="54"/>
        <rFont val="Arial"/>
        <family val="2"/>
      </rPr>
      <t xml:space="preserve">  000557  C  S/.  191-0873085-0-39 - TRANSCOSTA S.A.  -  -  -  varios  S-34  </t>
    </r>
    <r>
      <rPr>
        <b/>
        <u/>
        <sz val="10"/>
        <color indexed="54"/>
        <rFont val="Arial"/>
        <family val="2"/>
      </rPr>
      <t>S/.  1,518.37</t>
    </r>
    <r>
      <rPr>
        <u/>
        <sz val="10"/>
        <color indexed="54"/>
        <rFont val="Arial"/>
        <family val="2"/>
      </rPr>
      <t xml:space="preserve">  </t>
    </r>
    <r>
      <rPr>
        <sz val="10"/>
        <color indexed="54"/>
        <rFont val="Arial"/>
        <family val="2"/>
      </rPr>
      <t xml:space="preserve">26/08/2011  </t>
    </r>
  </si>
  <si>
    <t>Fecha_Operc_Grb</t>
  </si>
  <si>
    <t>015438</t>
  </si>
  <si>
    <t>Eufemio</t>
  </si>
  <si>
    <t>Gonzales</t>
  </si>
  <si>
    <t> 150202994</t>
  </si>
  <si>
    <r>
      <t xml:space="preserve">227  </t>
    </r>
    <r>
      <rPr>
        <sz val="9"/>
        <color indexed="12"/>
        <rFont val="Arial"/>
        <family val="2"/>
      </rPr>
      <t>B1Y-975</t>
    </r>
  </si>
  <si>
    <r>
      <t xml:space="preserve">231  </t>
    </r>
    <r>
      <rPr>
        <sz val="9"/>
        <color indexed="12"/>
        <rFont val="Arial"/>
        <family val="2"/>
      </rPr>
      <t>B1Y-979</t>
    </r>
  </si>
  <si>
    <t>Jorge Denis Llerena Manuyama               DNI 46456166</t>
  </si>
  <si>
    <t>RENOVA - Saul Alzamora Y. (salzamora@renova.com.pe)</t>
  </si>
  <si>
    <t>150912486 / 52334-A</t>
  </si>
  <si>
    <t>KENWORTH</t>
  </si>
  <si>
    <t>Elizabeth Santos</t>
  </si>
  <si>
    <t>E.S.</t>
  </si>
  <si>
    <t>- Esperanza Poma</t>
  </si>
  <si>
    <t>Flores</t>
  </si>
  <si>
    <t>Profesión</t>
  </si>
  <si>
    <r>
      <t xml:space="preserve">COMEDOR / </t>
    </r>
    <r>
      <rPr>
        <i/>
        <sz val="9"/>
        <rFont val="Arial"/>
        <family val="2"/>
      </rPr>
      <t>Cocina</t>
    </r>
  </si>
  <si>
    <t>Planchado / Pintura</t>
  </si>
  <si>
    <t>Nro. De ejes</t>
  </si>
  <si>
    <t>FARFAN VILLA RONALD</t>
  </si>
  <si>
    <t>19812808</t>
  </si>
  <si>
    <t> ZG7609</t>
  </si>
  <si>
    <t> 150203062</t>
  </si>
  <si>
    <t> SRV-40-3-146</t>
  </si>
  <si>
    <t> 30000   </t>
  </si>
  <si>
    <t>Olivera</t>
  </si>
  <si>
    <t>MobilePhone</t>
  </si>
  <si>
    <t>Otrofax</t>
  </si>
  <si>
    <t>Otroteléfono</t>
  </si>
  <si>
    <t>Pager</t>
  </si>
  <si>
    <t>Paísoregióndeldomicilio</t>
  </si>
  <si>
    <t>Escuela-ANATEC</t>
  </si>
  <si>
    <t> 123932</t>
  </si>
  <si>
    <t> 53</t>
  </si>
  <si>
    <t> 9960   </t>
  </si>
  <si>
    <r>
      <t xml:space="preserve">Propietario: </t>
    </r>
    <r>
      <rPr>
        <b/>
        <sz val="10"/>
        <color indexed="56"/>
        <rFont val="Arial"/>
        <family val="2"/>
      </rPr>
      <t>RUC-20492292592</t>
    </r>
    <r>
      <rPr>
        <sz val="8"/>
        <color indexed="56"/>
        <rFont val="Arial"/>
        <family val="2"/>
      </rPr>
      <t xml:space="preserve">   Uso: Particular Telf de ref.: 577-5333 </t>
    </r>
    <r>
      <rPr>
        <b/>
        <sz val="8"/>
        <color indexed="56"/>
        <rFont val="Arial"/>
        <family val="2"/>
      </rPr>
      <t>Documentos a presentar :</t>
    </r>
    <r>
      <rPr>
        <sz val="8"/>
        <color indexed="56"/>
        <rFont val="Arial"/>
        <family val="2"/>
      </rPr>
      <t xml:space="preserve"> Tarjeta de propiedad, SOAT, vigente, Licencia de conducir vigente.</t>
    </r>
    <r>
      <rPr>
        <b/>
        <sz val="8"/>
        <color indexed="56"/>
        <rFont val="Arial"/>
        <family val="2"/>
      </rPr>
      <t xml:space="preserve"> El vehículo debe contar con:</t>
    </r>
    <r>
      <rPr>
        <sz val="8"/>
        <color indexed="56"/>
        <rFont val="Arial"/>
        <family val="2"/>
      </rPr>
      <t xml:space="preserve"> Rueda de repuesto, Gata, Llave de ruedas, Triangulo de seguridad.</t>
    </r>
  </si>
  <si>
    <t>Cada semana [Dep-Julio Sencia]</t>
  </si>
  <si>
    <t>58395-5434</t>
  </si>
  <si>
    <t>58444-5459</t>
  </si>
  <si>
    <t>58391-5433</t>
  </si>
  <si>
    <t>58454-5464</t>
  </si>
  <si>
    <t>58436-5455</t>
  </si>
  <si>
    <t>58491-5484</t>
  </si>
  <si>
    <t>Carlos Hernandez</t>
  </si>
  <si>
    <t>Guillermo de Dios</t>
  </si>
  <si>
    <t>Payco</t>
  </si>
  <si>
    <t>Elmer Alfaro</t>
  </si>
  <si>
    <t> 150203047</t>
  </si>
  <si>
    <t> SRV403036</t>
  </si>
  <si>
    <t> 95</t>
  </si>
  <si>
    <t> ZG6830</t>
  </si>
  <si>
    <t>65656-9256</t>
  </si>
  <si>
    <t>J.S.O.O.L.</t>
  </si>
  <si>
    <t>ZQ-1428</t>
  </si>
  <si>
    <t>8S9238NP58LV31056</t>
  </si>
  <si>
    <t>Furgon</t>
  </si>
  <si>
    <t>TRAIMOBILE</t>
  </si>
  <si>
    <t>ZG-1401</t>
  </si>
  <si>
    <t>71-121-02010</t>
  </si>
  <si>
    <t>Fabr.</t>
  </si>
  <si>
    <t>Ejes</t>
  </si>
  <si>
    <t>Semi_Remolque</t>
  </si>
  <si>
    <t>VALDERRAMA</t>
  </si>
  <si>
    <t>58411-5444</t>
  </si>
  <si>
    <t>58490-5483</t>
  </si>
  <si>
    <t>58431-5471</t>
  </si>
  <si>
    <t>58471-5474</t>
  </si>
  <si>
    <t>Nro. de  meses de descanso</t>
  </si>
  <si>
    <t>Otracalle</t>
  </si>
  <si>
    <t>Otracalle2</t>
  </si>
  <si>
    <t>Sherman</t>
  </si>
  <si>
    <t>M.H.S.</t>
  </si>
  <si>
    <t>SERVOSA-SHELL_javier</t>
  </si>
  <si>
    <t>mendez</t>
  </si>
  <si>
    <t> SRV-30-3-271</t>
  </si>
  <si>
    <t> 8900    </t>
  </si>
  <si>
    <t> 17</t>
  </si>
  <si>
    <t> ZG8551</t>
  </si>
  <si>
    <t> 150203070</t>
  </si>
  <si>
    <t>FORD EXPEDITION</t>
  </si>
  <si>
    <t>AO-1619</t>
  </si>
  <si>
    <t>BGD-824</t>
  </si>
  <si>
    <t>7.88+0.12+0.05</t>
  </si>
  <si>
    <t>En tacos</t>
  </si>
  <si>
    <t>002527-2853</t>
  </si>
  <si>
    <t>002538-2842</t>
  </si>
  <si>
    <r>
      <t>155</t>
    </r>
    <r>
      <rPr>
        <sz val="10"/>
        <color indexed="54"/>
        <rFont val="Arial"/>
        <family val="2"/>
      </rPr>
      <t xml:space="preserve">  </t>
    </r>
    <r>
      <rPr>
        <sz val="8"/>
        <color indexed="54"/>
        <rFont val="Arial"/>
        <family val="2"/>
      </rPr>
      <t>YG-6407</t>
    </r>
  </si>
  <si>
    <t>Datsun</t>
  </si>
  <si>
    <t>NLA10-XDL</t>
  </si>
  <si>
    <t>NLA10-B10117</t>
  </si>
  <si>
    <t>Total general</t>
  </si>
  <si>
    <t>Sofware de Contabilidad</t>
  </si>
  <si>
    <t>009940</t>
  </si>
  <si>
    <t> 150911624</t>
  </si>
  <si>
    <t> 150911622</t>
  </si>
  <si>
    <t> 150911623</t>
  </si>
  <si>
    <t> 9890    </t>
  </si>
  <si>
    <t> 1969</t>
  </si>
  <si>
    <t> 55</t>
  </si>
  <si>
    <t>HomeStreet</t>
  </si>
  <si>
    <t>HomeStreet2</t>
  </si>
  <si>
    <t>Nicole Briceño Egusquiza</t>
  </si>
  <si>
    <t>Ciudaddetrabajo</t>
  </si>
  <si>
    <t>Mendez</t>
  </si>
  <si>
    <t>Mallqui</t>
  </si>
  <si>
    <t>Edwin</t>
  </si>
  <si>
    <t>hildagongorag@hotmail.com</t>
  </si>
  <si>
    <t> 9500   </t>
  </si>
  <si>
    <r>
      <t>Memorandum - Sem 25/2012</t>
    </r>
    <r>
      <rPr>
        <b/>
        <sz val="12"/>
        <rFont val="Arial"/>
        <family val="2"/>
      </rPr>
      <t xml:space="preserve">   </t>
    </r>
    <r>
      <rPr>
        <sz val="12"/>
        <rFont val="Arial"/>
        <family val="2"/>
      </rPr>
      <t xml:space="preserve">-   </t>
    </r>
    <r>
      <rPr>
        <sz val="10"/>
        <rFont val="Arial"/>
        <family val="2"/>
      </rPr>
      <t>Fecha: 26/06/12</t>
    </r>
  </si>
  <si>
    <t>Total 1D46</t>
  </si>
  <si>
    <t>HILDA GONGORA GOMEZ</t>
  </si>
  <si>
    <t>4ta. Estacion</t>
  </si>
  <si>
    <t>Total 0D69 Zacarias Felix H.</t>
  </si>
  <si>
    <t>Total 0P75 Walter Vallejos S.</t>
  </si>
  <si>
    <t>Total 1D25 Claiton Salas V.</t>
  </si>
  <si>
    <t>transportes@pecsa. com. pe (transportes@pecsa.com.pe)</t>
  </si>
  <si>
    <t>P.T.T.</t>
  </si>
  <si>
    <t>Erick Roca</t>
  </si>
  <si>
    <t>PERUANA DE COMBUSTIBLES</t>
  </si>
  <si>
    <t>Supervisor de Transporte</t>
  </si>
  <si>
    <t>Av. Republica de Panama 3542 - San Isidro</t>
  </si>
  <si>
    <t>411-4600</t>
  </si>
  <si>
    <t>Jose Mayta</t>
  </si>
  <si>
    <t>cpillaca@topytop.com.pe</t>
  </si>
  <si>
    <t>Observaciones :</t>
  </si>
  <si>
    <t> 150912480</t>
  </si>
  <si>
    <t xml:space="preserve">Carlos Jose Pillaca Quispe </t>
  </si>
  <si>
    <t>OP19</t>
  </si>
  <si>
    <t>41*343*3730</t>
  </si>
  <si>
    <t>115092-8147276</t>
  </si>
  <si>
    <t>115117-1034831</t>
  </si>
  <si>
    <t>015026</t>
  </si>
  <si>
    <t>014681</t>
  </si>
  <si>
    <r>
      <t xml:space="preserve">D8P-254 </t>
    </r>
    <r>
      <rPr>
        <sz val="7"/>
        <rFont val="Lucida Fax"/>
        <family val="1"/>
      </rPr>
      <t>LQ-2763</t>
    </r>
  </si>
  <si>
    <t> 78</t>
  </si>
  <si>
    <t>- Provincias: en nuestro Centro de Servicio al Cliente de su localidad.</t>
  </si>
  <si>
    <t>Ropa Exclusiva para Bebés y Niños</t>
  </si>
  <si>
    <t>C.E.Q.R.</t>
  </si>
  <si>
    <t>E/S UNIVERSIDAD</t>
  </si>
  <si>
    <t>Av. La Universidad 1275</t>
  </si>
  <si>
    <t>LISTO CAMACHO</t>
  </si>
  <si>
    <t>156</t>
  </si>
  <si>
    <t>11353830</t>
  </si>
  <si>
    <t>998139990</t>
  </si>
  <si>
    <t>942494982</t>
  </si>
  <si>
    <t>Walter Vargas</t>
  </si>
  <si>
    <t>Walter Castillo</t>
  </si>
  <si>
    <t>Danilo Quispe</t>
  </si>
  <si>
    <t>Carlos del Rio</t>
  </si>
  <si>
    <t>Percy Celis</t>
  </si>
  <si>
    <t>Emanuel Laureano</t>
  </si>
  <si>
    <t xml:space="preserve">BASE </t>
  </si>
  <si>
    <t>Base Oquendo</t>
  </si>
  <si>
    <t>Mario Alarico</t>
  </si>
  <si>
    <t>Leo Camara</t>
  </si>
  <si>
    <t>Miguel Villanueva</t>
  </si>
  <si>
    <t>Julio Olivera</t>
  </si>
  <si>
    <t>Nelson Torres</t>
  </si>
  <si>
    <t>William Delgado</t>
  </si>
  <si>
    <t>Manuel Pinillos</t>
  </si>
  <si>
    <t>Dennis Ramos</t>
  </si>
  <si>
    <t>David Barroso</t>
  </si>
  <si>
    <t>Rufino Chambi</t>
  </si>
  <si>
    <t xml:space="preserve">Haberes  000674  C  S/.  193-1760052-0-02 - TRANSPORTE COMERCIAL Y SEGURO TAKUSHI S.  -  -  -  varios  30092011  S/.  3,344.02  30/09/2011  Parcialmente firmada  </t>
  </si>
  <si>
    <t>J.M.C.</t>
  </si>
  <si>
    <t>Sandra - SLPERU</t>
  </si>
  <si>
    <t> 38</t>
  </si>
  <si>
    <t>Vivi</t>
  </si>
  <si>
    <t>V.</t>
  </si>
  <si>
    <r>
      <t xml:space="preserve"> 4  S.A.I.E.I.R.L.  RUC: 20108911167  C US$ 193-0092189-1-10 </t>
    </r>
    <r>
      <rPr>
        <b/>
        <sz val="10"/>
        <rFont val="Arial"/>
        <family val="2"/>
      </rPr>
      <t xml:space="preserve">US$ 499.56 </t>
    </r>
    <r>
      <rPr>
        <sz val="10"/>
        <rFont val="Arial"/>
        <family val="2"/>
      </rPr>
      <t xml:space="preserve">002-041760 TAKUSHI 002-041760 TAKUSHI Sí </t>
    </r>
  </si>
  <si>
    <t>TAKUSHI SAC</t>
  </si>
  <si>
    <t> 150203036</t>
  </si>
  <si>
    <t>LQ-2763</t>
  </si>
  <si>
    <t>BCP</t>
  </si>
  <si>
    <t>Unidad en taller por reparacion (sin SOAT,RTV)</t>
  </si>
  <si>
    <t>xxx</t>
  </si>
  <si>
    <t>Registro en MTC</t>
  </si>
  <si>
    <t>Desengrasante</t>
  </si>
  <si>
    <t>Minutos</t>
  </si>
  <si>
    <t>942495140</t>
  </si>
  <si>
    <t>MOTOROLA MOTO G XT 1032</t>
  </si>
  <si>
    <t>Alfredo Támara</t>
  </si>
  <si>
    <t>971613267</t>
  </si>
  <si>
    <t>ALCATEL OT-3075</t>
  </si>
  <si>
    <t>Pedro Saldaña</t>
  </si>
  <si>
    <t>942495119</t>
  </si>
  <si>
    <t>Ubelser Martínez</t>
  </si>
  <si>
    <t>971608151</t>
  </si>
  <si>
    <t>Percy Valdivia</t>
  </si>
  <si>
    <t>César Quispe</t>
  </si>
  <si>
    <t>971554723</t>
  </si>
  <si>
    <t>César Martínez</t>
  </si>
  <si>
    <t>942487533</t>
  </si>
  <si>
    <t>Fred Támara</t>
  </si>
  <si>
    <t>971549745</t>
  </si>
  <si>
    <t>Mario Palacios</t>
  </si>
  <si>
    <t>942447552</t>
  </si>
  <si>
    <t>Base</t>
  </si>
  <si>
    <t>%Rt</t>
  </si>
  <si>
    <t>01 Compresora presion 200lbs  01 tornillo de banco</t>
  </si>
  <si>
    <t> 10040    </t>
  </si>
  <si>
    <t>Pago</t>
  </si>
  <si>
    <t>116382-3086</t>
  </si>
  <si>
    <t>116384-3087</t>
  </si>
  <si>
    <t>59002-5491</t>
  </si>
  <si>
    <t>Javier</t>
  </si>
  <si>
    <t>J.M.</t>
  </si>
  <si>
    <t>Henry</t>
  </si>
  <si>
    <t>Arakaki</t>
  </si>
  <si>
    <r>
      <t>Memorandum - Sem 23/2012</t>
    </r>
    <r>
      <rPr>
        <b/>
        <sz val="12"/>
        <rFont val="Arial"/>
        <family val="2"/>
      </rPr>
      <t xml:space="preserve">   </t>
    </r>
    <r>
      <rPr>
        <sz val="12"/>
        <rFont val="Arial"/>
        <family val="2"/>
      </rPr>
      <t xml:space="preserve">-   </t>
    </r>
    <r>
      <rPr>
        <sz val="10"/>
        <rFont val="Arial"/>
        <family val="2"/>
      </rPr>
      <t>Fecha: 13/06/12</t>
    </r>
  </si>
  <si>
    <t>Telf. : 615-7800  (al 21/08/08 12:20hrs icc)</t>
  </si>
  <si>
    <t>Carlos Jose Pillaca Quispe</t>
  </si>
  <si>
    <t>[ Topy Top ]</t>
  </si>
  <si>
    <t>Nro. de días de descanso</t>
  </si>
  <si>
    <t> ZG1507</t>
  </si>
  <si>
    <t> 150203021</t>
  </si>
  <si>
    <t>0251346-3067524</t>
  </si>
  <si>
    <t>Compra de Deuda de INTERBANK por parte del Banco de Credito del Peru</t>
  </si>
  <si>
    <t>sacar cita 29-Dic aprox</t>
  </si>
  <si>
    <t> 150911604</t>
  </si>
  <si>
    <t> 150915176</t>
  </si>
  <si>
    <t> 150911607</t>
  </si>
  <si>
    <t> 150911610</t>
  </si>
  <si>
    <t>Nombredeldirector</t>
  </si>
  <si>
    <t>Notes</t>
  </si>
  <si>
    <t>F5D-932</t>
  </si>
  <si>
    <t>0805875-6400911</t>
  </si>
  <si>
    <t>Fecha de Vencimiento</t>
  </si>
  <si>
    <t xml:space="preserve">Eduardo </t>
  </si>
  <si>
    <t>Teodoro</t>
  </si>
  <si>
    <t>Jose</t>
  </si>
  <si>
    <t>Lizarbe</t>
  </si>
  <si>
    <t>Cardenas</t>
  </si>
  <si>
    <t xml:space="preserve">Informe de Flota  :  " TRANSCOSTA S.A.C." </t>
  </si>
  <si>
    <t>Otrocódigopostal</t>
  </si>
  <si>
    <t> 73</t>
  </si>
  <si>
    <t>01 Torno grande 01 Torno mediano 01 sierra mecanica de piso 01 Esmeril mediano</t>
  </si>
  <si>
    <t>48X-4 1/4 a 1/8</t>
  </si>
  <si>
    <t xml:space="preserve">A cuentas de terceros BCP   C  S/.  193-1760052-0-02 - TRANSPORTE COMERCIAL Y SEGURO TAKUSHI S.  C  S/.  191-1595070-0-17  INMOBILIARIA Y CONSTRUCTORA LLACOCCHE S.  001-000051 TAKUSHI LLACOCCHE  S/.  1,850.00  </t>
  </si>
  <si>
    <t>FRANK</t>
  </si>
  <si>
    <t xml:space="preserve">Rum  :   0024888   </t>
  </si>
  <si>
    <t>6666947-8696085</t>
  </si>
  <si>
    <t>Planilla</t>
  </si>
  <si>
    <t>Taller Mec</t>
  </si>
  <si>
    <t>2.85*+0.37=3.22</t>
  </si>
  <si>
    <t>En loza</t>
  </si>
  <si>
    <t> 77</t>
  </si>
  <si>
    <t> ZG3004</t>
  </si>
  <si>
    <t>3.36</t>
  </si>
  <si>
    <t>2.54</t>
  </si>
  <si>
    <t>018327</t>
  </si>
  <si>
    <t>018326</t>
  </si>
  <si>
    <t>Izaguirre</t>
  </si>
  <si>
    <t>Hermes</t>
  </si>
  <si>
    <t>Limpieza</t>
  </si>
  <si>
    <t>Linares</t>
  </si>
  <si>
    <t>Rojas</t>
  </si>
  <si>
    <t>Soldadura</t>
  </si>
  <si>
    <t>Pintura</t>
  </si>
  <si>
    <t>Area</t>
  </si>
  <si>
    <t>Seccion</t>
  </si>
  <si>
    <t xml:space="preserve"> 2 FRED BENJAMIN TAMARA CHAMORRO DNI: 09802451  A S/. 192-19999749-0-64 S/. 100.00 PRESTAMO PRESTAMO Sí  </t>
  </si>
  <si>
    <t>Del Pino, Patricia  SLPERU</t>
  </si>
  <si>
    <t>P.S.D.P.</t>
  </si>
  <si>
    <t>Solicitada</t>
  </si>
  <si>
    <t>Rectificat</t>
  </si>
  <si>
    <t>Roger</t>
  </si>
  <si>
    <t>repsolpampilla@gmd.com.pe</t>
  </si>
  <si>
    <t>Tarj_Prop</t>
  </si>
  <si>
    <t>160</t>
  </si>
  <si>
    <t>11223076</t>
  </si>
  <si>
    <t>(1) La antigüedad del vehículo se cuenta a partir del año siguiente de fabricación consignado en la Tarjeta de Propiedad o Tarjeta de Identificación Vehicular</t>
  </si>
  <si>
    <t>Estado</t>
  </si>
  <si>
    <t>640-3636</t>
  </si>
  <si>
    <t>8806281HRBTI001</t>
  </si>
  <si>
    <t>6501071LACDJ005</t>
  </si>
  <si>
    <t>7408211MRVAJ005</t>
  </si>
  <si>
    <t>7712281MDMLE003</t>
  </si>
  <si>
    <t>9106231MEBAE001</t>
  </si>
  <si>
    <t>8912241RAJGV008</t>
  </si>
  <si>
    <t>6611171SUDAE006</t>
  </si>
  <si>
    <t xml:space="preserve">  -  .  -  </t>
  </si>
  <si>
    <t>150912485 / 52333-A</t>
  </si>
  <si>
    <t>TRACTORES</t>
  </si>
  <si>
    <t>TOLVAS</t>
  </si>
  <si>
    <t>PLATAFORMAS</t>
  </si>
  <si>
    <t xml:space="preserve">  * Diagnóstico : Miocarditis Viral (HNERM/CITT - Juan Eduardo Fu Huby)</t>
  </si>
  <si>
    <r>
      <t xml:space="preserve">217  </t>
    </r>
    <r>
      <rPr>
        <sz val="9"/>
        <color indexed="10"/>
        <rFont val="Arial"/>
        <family val="2"/>
      </rPr>
      <t>ZG-6937</t>
    </r>
  </si>
  <si>
    <r>
      <t xml:space="preserve">235  </t>
    </r>
    <r>
      <rPr>
        <sz val="9"/>
        <rFont val="Arial"/>
        <family val="2"/>
      </rPr>
      <t>ZI-1275</t>
    </r>
  </si>
  <si>
    <r>
      <t xml:space="preserve">207  </t>
    </r>
    <r>
      <rPr>
        <sz val="9"/>
        <rFont val="Arial"/>
        <family val="2"/>
      </rPr>
      <t>ZG-6763</t>
    </r>
  </si>
  <si>
    <t>Octavio Juarez</t>
  </si>
  <si>
    <t>116363-3070</t>
  </si>
  <si>
    <t> SRV-40-3-012</t>
  </si>
  <si>
    <t> 87</t>
  </si>
  <si>
    <t> 150912476</t>
  </si>
  <si>
    <t> 150912482</t>
  </si>
  <si>
    <t>6203-2267</t>
  </si>
  <si>
    <t>61656-5840</t>
  </si>
  <si>
    <t>Cond. Pago</t>
  </si>
  <si>
    <t>8.10</t>
  </si>
  <si>
    <t>CesarQ</t>
  </si>
  <si>
    <t>AlfredoT</t>
  </si>
  <si>
    <t>Honorato</t>
  </si>
  <si>
    <t>Neyra</t>
  </si>
  <si>
    <t>Huamani</t>
  </si>
  <si>
    <t>Pentium II</t>
  </si>
  <si>
    <t>Oficina de Coordinacion</t>
  </si>
  <si>
    <t>CENCOSUD</t>
  </si>
  <si>
    <t>01 Surtidor de Combustible 01 Engrasadora neumatica 01 Grupo Electrogeno 01 Compresora presion 150lbs</t>
  </si>
  <si>
    <t> ZG6761</t>
  </si>
  <si>
    <t> 150203043</t>
  </si>
  <si>
    <t xml:space="preserve"> X 50</t>
  </si>
  <si>
    <t xml:space="preserve"> + logo</t>
  </si>
  <si>
    <t>Diferencia de Pagos</t>
  </si>
  <si>
    <t xml:space="preserve"> 10 Dias Libres</t>
  </si>
  <si>
    <t>Total a PAGAR</t>
  </si>
  <si>
    <t>10716832  a 1 Pasajero</t>
  </si>
  <si>
    <t>Claiton Salas Vargas</t>
  </si>
  <si>
    <t>Juan C Asmat Sigueñas</t>
  </si>
  <si>
    <t>Electricista Automotriz</t>
  </si>
  <si>
    <t>Ayacucho</t>
  </si>
  <si>
    <t>Notaria 17/09/08</t>
  </si>
  <si>
    <t>ORLC 17/09/08</t>
  </si>
  <si>
    <t>Pintura Sintetico NEGRO</t>
  </si>
  <si>
    <t>Conversion de unidades de 03 a 02 ejes (Tolvas)</t>
  </si>
  <si>
    <t>No</t>
  </si>
  <si>
    <t>Farias, Patricia - SPERU</t>
  </si>
  <si>
    <t>Donayre</t>
  </si>
  <si>
    <t>Daniel Donayre</t>
  </si>
  <si>
    <t xml:space="preserve">FECHA DE INSPECCION: Viernes 7, 20 y 27 de Junio; Sabado 28 de Junio y Sabado 5 de julio de 2008, </t>
  </si>
  <si>
    <t>Tania</t>
  </si>
  <si>
    <t>Perez</t>
  </si>
  <si>
    <t>Jaime</t>
  </si>
  <si>
    <r>
      <t>Haberes</t>
    </r>
    <r>
      <rPr>
        <sz val="10"/>
        <rFont val="Arial"/>
        <family val="2"/>
      </rPr>
      <t xml:space="preserve">  000570  C  S/.  191-0873085-0-39 - TRANSCOSTA S.A.  -  -  -  varios  </t>
    </r>
    <r>
      <rPr>
        <b/>
        <sz val="10"/>
        <rFont val="Arial"/>
        <family val="2"/>
      </rPr>
      <t>S-40  S/.  1,288.11</t>
    </r>
    <r>
      <rPr>
        <sz val="10"/>
        <rFont val="Arial"/>
        <family val="2"/>
      </rPr>
      <t xml:space="preserve">  07/10/2011  Parcialmente firmada  </t>
    </r>
  </si>
  <si>
    <t>Patio</t>
  </si>
  <si>
    <t> 150832174</t>
  </si>
  <si>
    <t>ORLC</t>
  </si>
  <si>
    <t>liquidado al 09/07/08</t>
  </si>
  <si>
    <t>D8P-254</t>
  </si>
  <si>
    <t>VOLVO 240 GRIS</t>
  </si>
  <si>
    <t>Und</t>
  </si>
  <si>
    <t>Klms</t>
  </si>
  <si>
    <t>T.</t>
  </si>
  <si>
    <t>Viviana</t>
  </si>
  <si>
    <t>Malaga</t>
  </si>
  <si>
    <t>Carmen Rosa Durand Ramirez</t>
  </si>
  <si>
    <t>TAMARA PEDREROS ALFONSO ALFREDO</t>
  </si>
  <si>
    <t>JETSAUL</t>
  </si>
  <si>
    <t>JOSE PEREA</t>
  </si>
  <si>
    <t>Inicio de descanso medico</t>
  </si>
  <si>
    <t>Fin de descanso medico</t>
  </si>
  <si>
    <t>Luis</t>
  </si>
  <si>
    <t>Avelino</t>
  </si>
  <si>
    <t>Tejada</t>
  </si>
  <si>
    <t>7.86+0.15+001</t>
  </si>
  <si>
    <t> 123941</t>
  </si>
  <si>
    <t>Jonathan Moreno</t>
  </si>
  <si>
    <t xml:space="preserve">Jaime Lizarbe </t>
  </si>
  <si>
    <t>01 634 9823</t>
  </si>
  <si>
    <t>Direccióndecorreoelectrónico2</t>
  </si>
  <si>
    <t>Tiene cubiertas de lancha (fibra de vidrio 2.5 x 6.0 mts)</t>
  </si>
  <si>
    <t>ZG-1432</t>
  </si>
  <si>
    <t>Tiene 02 techos de tolvas cementeras</t>
  </si>
  <si>
    <t>Planchar y cuadrar panel posterior</t>
  </si>
  <si>
    <t>Fisico</t>
  </si>
  <si>
    <t>357 D7Z-995</t>
  </si>
  <si>
    <t>Robert Aguirre Sucantay</t>
  </si>
  <si>
    <t>C.Cte.S/. 191-0109622-0-92   Jorge Malaga Cochella   [                     ]</t>
  </si>
  <si>
    <t>002132</t>
  </si>
  <si>
    <t>PECSA - Mario Rivas Ravelo</t>
  </si>
  <si>
    <t>P.M.M.R.R.</t>
  </si>
  <si>
    <t>Pedidos</t>
  </si>
  <si>
    <t>Lima</t>
  </si>
  <si>
    <t>Caucho</t>
  </si>
  <si>
    <t>SOLDADOR</t>
  </si>
  <si>
    <t>40346824</t>
  </si>
  <si>
    <t>Apartadopostaldeladireccióndeltrabajo</t>
  </si>
  <si>
    <t>TUESTA FEIJOO</t>
  </si>
  <si>
    <t>maria</t>
  </si>
  <si>
    <t>Daniel Donayre [daniel.donayre@scc.com.pe]</t>
  </si>
  <si>
    <t>Jose Malaga Cocchella</t>
  </si>
  <si>
    <t xml:space="preserve"> HTTP PBK-TMX58</t>
  </si>
  <si>
    <t>150912480 / 52328-A</t>
  </si>
  <si>
    <t>Mayo</t>
  </si>
  <si>
    <t>0087983-7687379</t>
  </si>
  <si>
    <t>0088000-5461487</t>
  </si>
  <si>
    <t>es de 1,5 con los detalles que antes explique, costura exportacion polos para lucirse y si se le coloca un estampado</t>
  </si>
  <si>
    <t>m.c.</t>
  </si>
  <si>
    <t>Jose.</t>
  </si>
  <si>
    <t>Carlos</t>
  </si>
  <si>
    <t> SRV-40-3-017</t>
  </si>
  <si>
    <t>vcadenillasv@detec.com.pe</t>
  </si>
  <si>
    <t>De la Cruz</t>
  </si>
  <si>
    <t>Tacuri</t>
  </si>
  <si>
    <t>Macedonio</t>
  </si>
  <si>
    <t>2.85*+0.41=3.26</t>
  </si>
  <si>
    <t> 150911618</t>
  </si>
  <si>
    <t>Dante_Vega/pecsa.com.pe@pecsa.com.pe</t>
  </si>
  <si>
    <t>PECSA - Dante Vega</t>
  </si>
  <si>
    <t>P.D.D.V.</t>
  </si>
  <si>
    <t>Ignasio</t>
  </si>
  <si>
    <t>Matricial   80col</t>
  </si>
  <si>
    <t xml:space="preserve"> Sacar CITA  MEDICA - ESSALUD </t>
  </si>
  <si>
    <t>Fernando Vargas Olivera</t>
  </si>
  <si>
    <t>F.V.O.</t>
  </si>
  <si>
    <t>DETEC - Noelia</t>
  </si>
  <si>
    <t>Olazabal</t>
  </si>
  <si>
    <t>Mondragon</t>
  </si>
  <si>
    <t>TR-24400</t>
  </si>
  <si>
    <t>813 *8612</t>
  </si>
  <si>
    <t>998138612</t>
  </si>
  <si>
    <t>eroca@pecsa.com.pe</t>
  </si>
  <si>
    <t>A.Manrique,J.Manrique</t>
  </si>
  <si>
    <r>
      <t xml:space="preserve">Al  miercoles 30/05/2012 a las 13:20hrs procede alumbrado electrico de EDELNOR </t>
    </r>
    <r>
      <rPr>
        <u/>
        <sz val="9"/>
        <color indexed="10"/>
        <rFont val="Book Antiqua"/>
        <family val="1"/>
      </rPr>
      <t xml:space="preserve">[ </t>
    </r>
    <r>
      <rPr>
        <u/>
        <sz val="12"/>
        <color indexed="10"/>
        <rFont val="Book Antiqua"/>
        <family val="1"/>
      </rPr>
      <t xml:space="preserve">2440774 </t>
    </r>
    <r>
      <rPr>
        <u/>
        <sz val="9"/>
        <color indexed="10"/>
        <rFont val="Book Antiqua"/>
        <family val="1"/>
      </rPr>
      <t>]</t>
    </r>
    <r>
      <rPr>
        <sz val="9"/>
        <color indexed="10"/>
        <rFont val="Book Antiqua"/>
        <family val="1"/>
      </rPr>
      <t xml:space="preserve"> en TAKUSHI - Porcino </t>
    </r>
  </si>
  <si>
    <t>LOPEZ PINTADO GEOVANNY NILER</t>
  </si>
  <si>
    <t>Corbella</t>
  </si>
  <si>
    <t>TOLENTINO</t>
  </si>
  <si>
    <t>Gongora</t>
  </si>
  <si>
    <t>RRHH</t>
  </si>
  <si>
    <t>Int.</t>
  </si>
  <si>
    <t>Placa</t>
  </si>
  <si>
    <t xml:space="preserve"> # cuotas</t>
  </si>
  <si>
    <t>193-15953605-0-51</t>
  </si>
  <si>
    <t>Farias</t>
  </si>
  <si>
    <t>PECSA Tr -</t>
  </si>
  <si>
    <t>Nicolas Briceno Herrera(HOTMAIL)</t>
  </si>
  <si>
    <t>N.B.H.</t>
  </si>
  <si>
    <t>Pacheco</t>
  </si>
  <si>
    <t> 150912490</t>
  </si>
  <si>
    <t> 150912488</t>
  </si>
  <si>
    <t> 150912487</t>
  </si>
  <si>
    <t> 150912491</t>
  </si>
  <si>
    <t>Jorge Huamani N.</t>
  </si>
  <si>
    <t> 150203008</t>
  </si>
  <si>
    <t> 123938</t>
  </si>
  <si>
    <t> 64</t>
  </si>
  <si>
    <t> YG6133</t>
  </si>
  <si>
    <t> 150203009</t>
  </si>
  <si>
    <t> 65</t>
  </si>
  <si>
    <t>2008-448005</t>
  </si>
  <si>
    <t>8.12</t>
  </si>
  <si>
    <t>Motores</t>
  </si>
  <si>
    <t>002131</t>
  </si>
  <si>
    <t>000425</t>
  </si>
  <si>
    <t>000433</t>
  </si>
  <si>
    <t>000455</t>
  </si>
  <si>
    <t>002111</t>
  </si>
  <si>
    <t>5.-</t>
  </si>
  <si>
    <t>6.-</t>
  </si>
  <si>
    <t>7.-</t>
  </si>
  <si>
    <t>S/.  190.00 (al 12/03/12)</t>
  </si>
  <si>
    <t>* Tarjeta de Propiedad</t>
  </si>
  <si>
    <t>Alimentac</t>
  </si>
  <si>
    <t>Movilidad</t>
  </si>
  <si>
    <t>168  YG-6159</t>
  </si>
  <si>
    <t>116378-3082</t>
  </si>
  <si>
    <t> 150202984</t>
  </si>
  <si>
    <t> 101118</t>
  </si>
  <si>
    <t> 35</t>
  </si>
  <si>
    <t> YG1367</t>
  </si>
  <si>
    <t>RENOVA</t>
  </si>
  <si>
    <t>- Saul Alzamora</t>
  </si>
  <si>
    <t>Y.</t>
  </si>
  <si>
    <t>APELLIDOS Y NOMBRES [Choferes]</t>
  </si>
  <si>
    <t>21792809</t>
  </si>
  <si>
    <t>Carlos Garcia Morales</t>
  </si>
  <si>
    <t>Vencido</t>
  </si>
  <si>
    <t>Casado</t>
  </si>
  <si>
    <t>Piura</t>
  </si>
  <si>
    <t>Cesar Martinez Silva</t>
  </si>
  <si>
    <t>718548-7862200</t>
  </si>
  <si>
    <t>718469-8990241</t>
  </si>
  <si>
    <t>Enrique</t>
  </si>
  <si>
    <t>Martinez</t>
  </si>
  <si>
    <t>de Malaga</t>
  </si>
  <si>
    <t>SEGURA DURAND EDUARDO TEODORO</t>
  </si>
  <si>
    <t>ELECTRICISTA AUTOMOTRIZ</t>
  </si>
  <si>
    <t>80467819</t>
  </si>
  <si>
    <t>MANRIQUE VEGA JUAN ANDRES</t>
  </si>
  <si>
    <t>ORTIZ PACHECO FREDY HERMOGENE</t>
  </si>
  <si>
    <t>25721104</t>
  </si>
  <si>
    <t>SALAS VARGAS CLAITON</t>
  </si>
  <si>
    <t>Florentino</t>
  </si>
  <si>
    <t>Daniel</t>
  </si>
  <si>
    <t>Maria Briceño E.</t>
  </si>
  <si>
    <t>Pacifico</t>
  </si>
  <si>
    <t>Vida</t>
  </si>
  <si>
    <t> 150202985</t>
  </si>
  <si>
    <t>236  F9W-991</t>
  </si>
  <si>
    <t>171  ANH-873</t>
  </si>
  <si>
    <t>INTERNATIONAL</t>
  </si>
  <si>
    <t>GOMEZ GUERRA LIN</t>
  </si>
  <si>
    <r>
      <t>Memorandum - Sem 32/2013</t>
    </r>
    <r>
      <rPr>
        <b/>
        <sz val="12"/>
        <rFont val="Courier Final Draft"/>
        <family val="3"/>
      </rPr>
      <t xml:space="preserve">   </t>
    </r>
    <r>
      <rPr>
        <sz val="12"/>
        <rFont val="Courier Final Draft"/>
        <family val="3"/>
      </rPr>
      <t xml:space="preserve">-   </t>
    </r>
    <r>
      <rPr>
        <sz val="10"/>
        <rFont val="Courier Final Draft"/>
        <family val="3"/>
      </rPr>
      <t>Fecha: 13/08/13    (Viaje Simple)</t>
    </r>
  </si>
  <si>
    <t>ANATEC - Esperanza Poma Flores (epomaflores@hotmail.com)</t>
  </si>
  <si>
    <t>06014874</t>
  </si>
  <si>
    <t>Patricia Farias - SLPERU</t>
  </si>
  <si>
    <t>P.F.S.</t>
  </si>
  <si>
    <t>Maribel</t>
  </si>
  <si>
    <t>Hinostroza</t>
  </si>
  <si>
    <t>Nextel:  813*9543</t>
  </si>
  <si>
    <t>150912473 / 52339-A</t>
  </si>
  <si>
    <t>COMEDOR / Cocina</t>
  </si>
  <si>
    <t>SRV-40-3-036</t>
  </si>
  <si>
    <t>Med  19.0 x 11.8 x 1.3</t>
  </si>
  <si>
    <t>Lisiado - piernas</t>
  </si>
  <si>
    <t>Total 1D61 Jorge Hinostroza V.</t>
  </si>
  <si>
    <t>Total 1D63 Eladio Carranza J.</t>
  </si>
  <si>
    <t>Total 1D64 Henry Selaya Ch.</t>
  </si>
  <si>
    <t>65649-9253</t>
  </si>
  <si>
    <t>25741168</t>
  </si>
  <si>
    <t>A4</t>
  </si>
  <si>
    <t>1ra. Estacion</t>
  </si>
  <si>
    <t>2da. Estacion</t>
  </si>
  <si>
    <t>3ra. Estacion</t>
  </si>
  <si>
    <t>Andres Santivanez</t>
  </si>
  <si>
    <t>NG-42755</t>
  </si>
  <si>
    <t>HONDA CGL 125</t>
  </si>
  <si>
    <t>Lija para agua # 100  ASA</t>
  </si>
  <si>
    <t>SRP-02-30</t>
  </si>
  <si>
    <t> 150913203</t>
  </si>
  <si>
    <t>DIRECCION	Av. Los Eucaliptos 802 – Los Cactus – LA MOLINA</t>
  </si>
  <si>
    <t>Perú</t>
  </si>
  <si>
    <t>0/0/00</t>
  </si>
  <si>
    <t>Empresa</t>
  </si>
  <si>
    <t>Copias</t>
  </si>
  <si>
    <t>Fotos(4) estudio</t>
  </si>
  <si>
    <t>Foto PNP(2)</t>
  </si>
  <si>
    <t>Especie BN(2)</t>
  </si>
  <si>
    <t>Legalizacion(2)</t>
  </si>
  <si>
    <t>YG-1386</t>
  </si>
  <si>
    <t>YG-1387</t>
  </si>
  <si>
    <t>Cesar Quispe Ramos</t>
  </si>
  <si>
    <t> YG1647</t>
  </si>
  <si>
    <t> 150402533</t>
  </si>
  <si>
    <t xml:space="preserve">Italo Cordano Cochella </t>
  </si>
  <si>
    <t>Nota: los calculos deben ser de acuerdo a la modificatoria que son de 12 meses antes del suceso lo cual corresponderi a S/. 23.87</t>
  </si>
  <si>
    <t>W924A</t>
  </si>
  <si>
    <t xml:space="preserve">www.primax.com.pe </t>
  </si>
  <si>
    <t>0007730669</t>
  </si>
  <si>
    <t>150912475 / 52341-A</t>
  </si>
  <si>
    <t>Cmta. Nissan blanco D/C</t>
  </si>
  <si>
    <r>
      <t>Memorandum - Sem 031/2016</t>
    </r>
    <r>
      <rPr>
        <b/>
        <sz val="10"/>
        <rFont val="Courier Final Draft"/>
        <family val="3"/>
      </rPr>
      <t xml:space="preserve">   </t>
    </r>
    <r>
      <rPr>
        <sz val="10"/>
        <rFont val="Courier Final Draft"/>
        <family val="3"/>
      </rPr>
      <t xml:space="preserve">-   Fecha: 10/08/16                      </t>
    </r>
  </si>
  <si>
    <t>2D05</t>
  </si>
  <si>
    <t>1324926-8518836</t>
  </si>
  <si>
    <t>005177-2974509</t>
  </si>
  <si>
    <t>005197-6201843</t>
  </si>
  <si>
    <t>023097-2164746</t>
  </si>
  <si>
    <t>301756-2693266</t>
  </si>
  <si>
    <t>110586-4568715</t>
  </si>
  <si>
    <t>346976-8984740</t>
  </si>
  <si>
    <t>024835-5386215</t>
  </si>
  <si>
    <t>127764-7020976</t>
  </si>
  <si>
    <t>301847-1339533</t>
  </si>
  <si>
    <t>301873-5717159</t>
  </si>
  <si>
    <t>301799-2745753</t>
  </si>
  <si>
    <t>301874-6233075</t>
  </si>
  <si>
    <t>301804-1354817</t>
  </si>
  <si>
    <t>024865-2752670</t>
  </si>
  <si>
    <t>301811-7405653</t>
  </si>
  <si>
    <t>301809-6662810</t>
  </si>
  <si>
    <t>Total 2D05</t>
  </si>
  <si>
    <t>Jose Yauri Rivera</t>
  </si>
  <si>
    <t xml:space="preserve">Guantes de cuero hasta el hombro, mascara de soldar </t>
  </si>
  <si>
    <t>150913201 / 53030-A</t>
  </si>
  <si>
    <t>TRAMARSA</t>
  </si>
  <si>
    <t>Julio, Agosto</t>
  </si>
  <si>
    <t>Lizardo Floes B.</t>
  </si>
  <si>
    <t>Horario:  10:00 - 18:00hrs</t>
  </si>
  <si>
    <t>Kilometraje</t>
  </si>
  <si>
    <t>Lija para fierro # 80  ASA</t>
  </si>
  <si>
    <t>0088011-8982519</t>
  </si>
  <si>
    <t>Abonar el Importe de 01 viaje TPC – LOS OLIVOS, OT 613, según relación :</t>
  </si>
  <si>
    <t xml:space="preserve">Guía </t>
  </si>
  <si>
    <t>Chofer</t>
  </si>
  <si>
    <t>6144-2224</t>
  </si>
  <si>
    <t>0D21</t>
  </si>
  <si>
    <r>
      <t>M</t>
    </r>
    <r>
      <rPr>
        <sz val="10"/>
        <rFont val="Arial"/>
        <family val="2"/>
      </rPr>
      <t xml:space="preserve">axe </t>
    </r>
    <r>
      <rPr>
        <sz val="10"/>
        <color indexed="10"/>
        <rFont val="Arial"/>
        <family val="2"/>
      </rPr>
      <t>A</t>
    </r>
    <r>
      <rPr>
        <sz val="10"/>
        <rFont val="Arial"/>
        <family val="2"/>
      </rPr>
      <t xml:space="preserve">rangoitia </t>
    </r>
    <r>
      <rPr>
        <sz val="10"/>
        <color indexed="10"/>
        <rFont val="Arial"/>
        <family val="2"/>
      </rPr>
      <t>G</t>
    </r>
    <r>
      <rPr>
        <sz val="10"/>
        <rFont val="Arial"/>
        <family val="2"/>
      </rPr>
      <t>arcia</t>
    </r>
  </si>
  <si>
    <t>visiteme y le enseño el tipo de tela  y el polo.</t>
  </si>
  <si>
    <t>Radioteléfono</t>
  </si>
  <si>
    <t>Númerodeteletipo</t>
  </si>
  <si>
    <t>01 en cascada, en MANTENIMIENTO, 01 en cascada, en OPERACIONES  OrIgen en ADMINISTRACION</t>
  </si>
  <si>
    <t>000449</t>
  </si>
  <si>
    <t>ZG-7093</t>
  </si>
  <si>
    <t>Pg x Dia</t>
  </si>
  <si>
    <t>2 und</t>
  </si>
  <si>
    <t>1/16 gln</t>
  </si>
  <si>
    <t>Algodón p´ pulir</t>
  </si>
  <si>
    <t>7703821</t>
  </si>
  <si>
    <t>Filtro para  Petroleo</t>
  </si>
  <si>
    <t>Filtro para Petroleo</t>
  </si>
  <si>
    <t>Llc</t>
  </si>
  <si>
    <t>Jlm</t>
  </si>
  <si>
    <t>Jem</t>
  </si>
  <si>
    <t>Aries</t>
  </si>
  <si>
    <t>Vencimiento-SOAT</t>
  </si>
  <si>
    <t>Planchado/Pintura</t>
  </si>
  <si>
    <t>543 - 4997</t>
  </si>
  <si>
    <t>Saldo  S/. :</t>
  </si>
  <si>
    <t>SBS</t>
  </si>
  <si>
    <t>Masking tape de 1/2 pulg</t>
  </si>
  <si>
    <t>ok</t>
  </si>
  <si>
    <t>Samuel Arangoitia</t>
  </si>
  <si>
    <t>150911615 / 51744-A</t>
  </si>
  <si>
    <t>150913209 / 53038-A</t>
  </si>
  <si>
    <t> SR473983899</t>
  </si>
  <si>
    <t>Aviso</t>
  </si>
  <si>
    <t>Movistar 04-05-15 16:56</t>
  </si>
  <si>
    <t>43479836</t>
  </si>
  <si>
    <t>Fredy Neyra Llatas [Sn.Isd.]</t>
  </si>
  <si>
    <t>Av. Los Frutales esq con La Fontana</t>
  </si>
  <si>
    <t>basta manga y faldon</t>
  </si>
  <si>
    <t>2008-448003</t>
  </si>
  <si>
    <t>* Galeria el Dorado en Prolongacion Gamarra 902</t>
  </si>
  <si>
    <t>Teléfono:</t>
  </si>
  <si>
    <t>323-7156</t>
  </si>
  <si>
    <t> 150912481</t>
  </si>
  <si>
    <t> 150913199</t>
  </si>
  <si>
    <t>Luis Centeno (lcenteno@softwarebusiness.com.pe)</t>
  </si>
  <si>
    <t>L.C.</t>
  </si>
  <si>
    <t>Raúl</t>
  </si>
  <si>
    <t>Efectivo</t>
  </si>
  <si>
    <t>Total 1D68   Mario Palacios M.</t>
  </si>
  <si>
    <t>Total 1P25   Eladio Carranza J.</t>
  </si>
  <si>
    <t>Plataforma/Baranda</t>
  </si>
  <si>
    <t>Plataforma</t>
  </si>
  <si>
    <t>OK</t>
  </si>
  <si>
    <t>Notaria</t>
  </si>
  <si>
    <t>YG-1364</t>
  </si>
  <si>
    <t>YG-1368</t>
  </si>
  <si>
    <t>YG-1367</t>
  </si>
  <si>
    <t>Jorge Castillo Corbella [mailto:jcastilloc@detec.com.pe]</t>
  </si>
  <si>
    <t>D.J.J.C.C.</t>
  </si>
  <si>
    <t>INSUQUI</t>
  </si>
  <si>
    <t>Saldo</t>
  </si>
  <si>
    <t>126579-6320765</t>
  </si>
  <si>
    <t>468975-191027</t>
  </si>
  <si>
    <t>291233-4288872</t>
  </si>
  <si>
    <t>Asistenta Social</t>
  </si>
  <si>
    <t>Gomez</t>
  </si>
  <si>
    <t>8.05</t>
  </si>
  <si>
    <t>3.32</t>
  </si>
  <si>
    <t>150911621 / 51749-A</t>
  </si>
  <si>
    <t>150911624 / 51168-A</t>
  </si>
  <si>
    <t>6179-2242</t>
  </si>
  <si>
    <t>Jonathan Moreno B.</t>
  </si>
  <si>
    <t xml:space="preserve">Juan Queuña Ch. </t>
  </si>
  <si>
    <t>1P33</t>
  </si>
  <si>
    <t>SNP</t>
  </si>
  <si>
    <t>Codigo/DNI</t>
  </si>
  <si>
    <t>Nombres</t>
  </si>
  <si>
    <t>Sistema Pensiones</t>
  </si>
  <si>
    <t>Jornal Basico  Cod : 1010</t>
  </si>
  <si>
    <t>Lizarbe Cardenas</t>
  </si>
  <si>
    <t>Profuturo [Flujo]</t>
  </si>
  <si>
    <t>Fred Támara Ch.</t>
  </si>
  <si>
    <t>Antonio Rodriguez M.</t>
  </si>
  <si>
    <t>TRANSPORTE COMERCIAL Y SEGURO TAKUSHI S.A.C.</t>
  </si>
  <si>
    <t> 5640    </t>
  </si>
  <si>
    <t> 80</t>
  </si>
  <si>
    <t>58496-5487</t>
  </si>
  <si>
    <t>D.V.V.C.V.</t>
  </si>
  <si>
    <t>Julio-Gratif</t>
  </si>
  <si>
    <t>Setiembre-Vacaciones</t>
  </si>
  <si>
    <t>9880-89806</t>
  </si>
  <si>
    <t> SRV-40-3-049</t>
  </si>
  <si>
    <t> 7</t>
  </si>
  <si>
    <t> ZG6937</t>
  </si>
  <si>
    <t>61343-5593</t>
  </si>
  <si>
    <t>1P27</t>
  </si>
  <si>
    <t>P.T.E.E.R.</t>
  </si>
  <si>
    <t>www.pecsa.com.pe</t>
  </si>
  <si>
    <t>Jorge Dance</t>
  </si>
  <si>
    <t>10626418</t>
  </si>
  <si>
    <t>06875877</t>
  </si>
  <si>
    <t> 8250   </t>
  </si>
  <si>
    <t> 24370  </t>
  </si>
  <si>
    <t> 6920   </t>
  </si>
  <si>
    <t> 8900   </t>
  </si>
  <si>
    <t> 9220   </t>
  </si>
  <si>
    <t> 29600  </t>
  </si>
  <si>
    <t> 9400   </t>
  </si>
  <si>
    <t> 8160   </t>
  </si>
  <si>
    <t>VAN</t>
  </si>
  <si>
    <t>pendiente de tramitar tarjeta de circulacion - MTC</t>
  </si>
  <si>
    <t>Amancio</t>
  </si>
  <si>
    <t xml:space="preserve"> 2.-</t>
  </si>
  <si>
    <t xml:space="preserve"> 3.-</t>
  </si>
  <si>
    <t xml:space="preserve">356  D1X-984 </t>
  </si>
  <si>
    <t>a todo costo con entradas pintura general 2mn pintura y 3 de laca</t>
  </si>
  <si>
    <t>Juan Cavero Gonzales</t>
  </si>
  <si>
    <r>
      <t>999</t>
    </r>
    <r>
      <rPr>
        <b/>
        <sz val="9"/>
        <color indexed="10"/>
        <rFont val="Arial"/>
        <family val="2"/>
      </rPr>
      <t>-</t>
    </r>
    <r>
      <rPr>
        <b/>
        <sz val="9"/>
        <color indexed="12"/>
        <rFont val="Arial"/>
        <family val="2"/>
      </rPr>
      <t>176</t>
    </r>
    <r>
      <rPr>
        <b/>
        <sz val="9"/>
        <color indexed="10"/>
        <rFont val="Arial"/>
        <family val="2"/>
      </rPr>
      <t>-</t>
    </r>
    <r>
      <rPr>
        <b/>
        <sz val="9"/>
        <color indexed="12"/>
        <rFont val="Arial"/>
        <family val="2"/>
      </rPr>
      <t>518</t>
    </r>
  </si>
  <si>
    <t xml:space="preserve"> 577-7783  Fredy Ortiz Pacheco</t>
  </si>
  <si>
    <t>000448</t>
  </si>
  <si>
    <t>Tantaleán</t>
  </si>
  <si>
    <t> 150912477</t>
  </si>
  <si>
    <t>112  YG-1388</t>
  </si>
  <si>
    <t>113  YG-1336</t>
  </si>
  <si>
    <t>Pago Neto por DIA</t>
  </si>
  <si>
    <t>Total 0D21</t>
  </si>
  <si>
    <t>Total 0D36</t>
  </si>
  <si>
    <t>Total 0D40</t>
  </si>
  <si>
    <t>Total 0D69</t>
  </si>
  <si>
    <t>Del Pino</t>
  </si>
  <si>
    <t xml:space="preserve">  TOTAL NETO</t>
  </si>
  <si>
    <t xml:space="preserve">  I.G.V 19%</t>
  </si>
  <si>
    <t xml:space="preserve">  TOTAL PRESUPUESTO US$:</t>
  </si>
  <si>
    <t>7.94 + 0.12</t>
  </si>
  <si>
    <t>etiqueta de talla</t>
  </si>
  <si>
    <t>8.03</t>
  </si>
  <si>
    <t>Aplicativos Propios</t>
  </si>
  <si>
    <t>Cant</t>
  </si>
  <si>
    <t>Total 0D78</t>
  </si>
  <si>
    <t>Total 1D10</t>
  </si>
  <si>
    <r>
      <t xml:space="preserve">1 SANTOS ELIGIO CRUZADO BURGOS DNI: 10578283  A S/. 193-15953449-0-93 </t>
    </r>
    <r>
      <rPr>
        <b/>
        <sz val="10"/>
        <color indexed="54"/>
        <rFont val="Arial"/>
        <family val="2"/>
      </rPr>
      <t>S/. 500.00</t>
    </r>
    <r>
      <rPr>
        <sz val="10"/>
        <color indexed="54"/>
        <rFont val="Arial"/>
        <family val="2"/>
      </rPr>
      <t xml:space="preserve"> A CTA VAC A CTA VAC Sí  </t>
    </r>
  </si>
  <si>
    <t>018324</t>
  </si>
  <si>
    <t>Derechos a pagar en BANCO DE LA NACION</t>
  </si>
  <si>
    <r>
      <t xml:space="preserve">232  </t>
    </r>
    <r>
      <rPr>
        <sz val="9"/>
        <color indexed="12"/>
        <rFont val="Arial"/>
        <family val="2"/>
      </rPr>
      <t>B1Y-980</t>
    </r>
  </si>
  <si>
    <r>
      <t xml:space="preserve">344  </t>
    </r>
    <r>
      <rPr>
        <sz val="9"/>
        <color indexed="12"/>
        <rFont val="Arial"/>
        <family val="2"/>
      </rPr>
      <t>B1Y-978</t>
    </r>
  </si>
  <si>
    <t>- Violeta Cadenillas</t>
  </si>
  <si>
    <t>www.anatec-peru.com</t>
  </si>
  <si>
    <t>Lidia</t>
  </si>
  <si>
    <t>Asociación Nacional del Transporte Terrestre de Carga_x000D_
 Av. Arequipa # 330 Of. 805 Piso 8; 901-902 Piso 9_x000D_
Telf: 425 1461 - 433 1673 - 424 9644 | anatec@speedy.com.pe_x000D_
Escuela de Conductores Profesionales Especializados - ANATEC_x000D_
Revista Institucional - A</t>
  </si>
  <si>
    <t>Jose Colettty</t>
  </si>
  <si>
    <t>C.Aho.S/. 193-15953346-0-89   Jose Paz Delgado        [                     ]</t>
  </si>
  <si>
    <t>Transcosta S.A.C.</t>
  </si>
  <si>
    <t>69 / W-924 / 113919</t>
  </si>
  <si>
    <t>2008-433970</t>
  </si>
  <si>
    <t>3.17**</t>
  </si>
  <si>
    <t>SERVOSA SHELL, Walter Aguilar</t>
  </si>
  <si>
    <t>Total 0D52</t>
  </si>
  <si>
    <t>01 compresora con mangueras de uso, 04 mesas de trabajo, 01 taladro de banco, 01 remachadora, repuestos usados y herramientas, 01 telefono.</t>
  </si>
  <si>
    <t>Cabezas</t>
  </si>
  <si>
    <t>Eusebio</t>
  </si>
  <si>
    <t>Torre</t>
  </si>
  <si>
    <t>Marino</t>
  </si>
  <si>
    <t>Camiloaga</t>
  </si>
  <si>
    <t> ZG7092</t>
  </si>
  <si>
    <t>61660-5841</t>
  </si>
  <si>
    <t>61661-5842</t>
  </si>
  <si>
    <t>61664-5843</t>
  </si>
  <si>
    <t>61663-5844</t>
  </si>
  <si>
    <r>
      <t>Memorandum - Sem 24/2012</t>
    </r>
    <r>
      <rPr>
        <b/>
        <sz val="12"/>
        <rFont val="Arial"/>
        <family val="2"/>
      </rPr>
      <t xml:space="preserve">   </t>
    </r>
    <r>
      <rPr>
        <sz val="12"/>
        <rFont val="Arial"/>
        <family val="2"/>
      </rPr>
      <t xml:space="preserve">-   </t>
    </r>
    <r>
      <rPr>
        <sz val="10"/>
        <rFont val="Arial"/>
        <family val="2"/>
      </rPr>
      <t>Fecha: 19/06/12</t>
    </r>
  </si>
  <si>
    <r>
      <t>Memorandum - Sem 12/2015</t>
    </r>
    <r>
      <rPr>
        <b/>
        <sz val="10"/>
        <rFont val="Courier Final Draft"/>
        <family val="3"/>
      </rPr>
      <t xml:space="preserve">   </t>
    </r>
    <r>
      <rPr>
        <sz val="10"/>
        <rFont val="Courier Final Draft"/>
        <family val="3"/>
      </rPr>
      <t xml:space="preserve">-   Fecha: 24/03/15    </t>
    </r>
    <r>
      <rPr>
        <sz val="8"/>
        <rFont val="Courier Final Draft"/>
      </rPr>
      <t>(Viaje Simple del 15/03/15)</t>
    </r>
  </si>
  <si>
    <t>115613-4403839</t>
  </si>
  <si>
    <t>115607-4189181</t>
  </si>
  <si>
    <t>115640-2728219</t>
  </si>
  <si>
    <t>115626-2494136</t>
  </si>
  <si>
    <t>TPC- NEPTUNIA</t>
  </si>
  <si>
    <t>615707-9512726</t>
  </si>
  <si>
    <t>616707-5654595</t>
  </si>
  <si>
    <t>115661-7661939</t>
  </si>
  <si>
    <t>286301-5455780</t>
  </si>
  <si>
    <t>286512-4066598</t>
  </si>
  <si>
    <t>115671-7867433</t>
  </si>
  <si>
    <t>286314-4410680</t>
  </si>
  <si>
    <t>115683-5324248</t>
  </si>
  <si>
    <t>115726-5347250</t>
  </si>
  <si>
    <t>115711-7368401</t>
  </si>
  <si>
    <t>285364-1193910</t>
  </si>
  <si>
    <t>ZG-7952</t>
  </si>
  <si>
    <t>TOYOTA Cressida</t>
  </si>
  <si>
    <t>BMW 530i Limousine</t>
  </si>
  <si>
    <t> 150911621</t>
  </si>
  <si>
    <t> 150912717</t>
  </si>
  <si>
    <t>Instalar Llantas nuevas pos 1 y 2</t>
  </si>
  <si>
    <t>Mejorar pos 1 y 2</t>
  </si>
  <si>
    <t>58410-5442</t>
  </si>
  <si>
    <t>trabajo con calidad y rapidez</t>
  </si>
  <si>
    <t>Jaime Farias</t>
  </si>
  <si>
    <t>Positivo se obtuvieron las tarjetas de circulacion</t>
  </si>
  <si>
    <r>
      <t xml:space="preserve">1 </t>
    </r>
    <r>
      <rPr>
        <b/>
        <sz val="10"/>
        <rFont val="Arial"/>
        <family val="2"/>
      </rPr>
      <t xml:space="preserve">ISIDRO TITO NOA </t>
    </r>
    <r>
      <rPr>
        <sz val="10"/>
        <rFont val="Arial"/>
        <family val="2"/>
      </rPr>
      <t xml:space="preserve">DNI: 09199059  A S/. 193-15953446-0-90 </t>
    </r>
    <r>
      <rPr>
        <b/>
        <sz val="10"/>
        <rFont val="Arial"/>
        <family val="2"/>
      </rPr>
      <t>S/. 200.00</t>
    </r>
    <r>
      <rPr>
        <sz val="10"/>
        <rFont val="Arial"/>
        <family val="2"/>
      </rPr>
      <t xml:space="preserve"> CTA LIQUIDACION CTA LIQUIDACION Sí  </t>
    </r>
  </si>
  <si>
    <t>jcastilloc@detec.com.pe</t>
  </si>
  <si>
    <t>Tantaleán, César SLPERU - DFN/D671</t>
  </si>
  <si>
    <t>C.S.D.T.</t>
  </si>
  <si>
    <t>A</t>
  </si>
  <si>
    <t>* Galeria Centro de Gamarra en Jr. Hipolito Unanue 1594</t>
  </si>
  <si>
    <t>Mecanico de torno</t>
  </si>
  <si>
    <t>jorgem@transcosta.com.pe</t>
  </si>
  <si>
    <t>ROJAS JORGE VICTOR HUGO</t>
  </si>
  <si>
    <t>0087893-2619968</t>
  </si>
  <si>
    <t>0087881-2621673</t>
  </si>
  <si>
    <t>0087943-8832753</t>
  </si>
  <si>
    <t>0087908-7816333</t>
  </si>
  <si>
    <t>0087931-2765610</t>
  </si>
  <si>
    <t>angelicapatriciarp@hotmail.com</t>
  </si>
  <si>
    <t>ANGELICA PATRICIA RODRIGUEZ PACHECO</t>
  </si>
  <si>
    <r>
      <t xml:space="preserve">324  </t>
    </r>
    <r>
      <rPr>
        <sz val="9"/>
        <rFont val="Arial"/>
        <family val="2"/>
      </rPr>
      <t>ZG-1682</t>
    </r>
  </si>
  <si>
    <t>150911603 / 51733-A</t>
  </si>
  <si>
    <t>20 492 292 592</t>
  </si>
  <si>
    <t>5 92</t>
  </si>
  <si>
    <t> YG1336</t>
  </si>
  <si>
    <t> 150202981</t>
  </si>
  <si>
    <t> 104457</t>
  </si>
  <si>
    <t> 31</t>
  </si>
  <si>
    <t> YG1345</t>
  </si>
  <si>
    <t> 150202982</t>
  </si>
  <si>
    <t> 104460</t>
  </si>
  <si>
    <t> MMRR00599</t>
  </si>
  <si>
    <t>230  D8R-971</t>
  </si>
  <si>
    <t>342  D8S-980</t>
  </si>
  <si>
    <t xml:space="preserve">    RELACION DE UNIDADES Mayo-2014</t>
  </si>
  <si>
    <t>ZG-7592</t>
  </si>
  <si>
    <t>ZG-1428</t>
  </si>
  <si>
    <t>0236405-8987353</t>
  </si>
  <si>
    <t>J.Cortez,J.Queuña,R.Tapia</t>
  </si>
  <si>
    <t>E.Segura,E.Chilon,D.Alayo</t>
  </si>
  <si>
    <t>M.Arangoitia</t>
  </si>
  <si>
    <t>Lija para fierro # 40  ASA</t>
  </si>
  <si>
    <t xml:space="preserve"> 941-580-664</t>
  </si>
  <si>
    <t>CLUB PLAYA - LAS PALMERAS</t>
  </si>
  <si>
    <r>
      <t xml:space="preserve">IMPRESA / </t>
    </r>
    <r>
      <rPr>
        <b/>
        <sz val="14"/>
        <color indexed="12"/>
        <rFont val="Arial"/>
        <family val="2"/>
      </rPr>
      <t>NO</t>
    </r>
    <r>
      <rPr>
        <sz val="10"/>
        <color indexed="12"/>
        <rFont val="Arial"/>
        <family val="2"/>
      </rPr>
      <t xml:space="preserve"> PAGADO</t>
    </r>
  </si>
  <si>
    <r>
      <t xml:space="preserve">pendiente </t>
    </r>
    <r>
      <rPr>
        <sz val="12"/>
        <color indexed="12"/>
        <rFont val="Arial"/>
        <family val="2"/>
      </rPr>
      <t>SIN IMPRIMIR</t>
    </r>
  </si>
  <si>
    <t>Pintado de parachoque delantero</t>
  </si>
  <si>
    <r>
      <t xml:space="preserve">pendiente </t>
    </r>
    <r>
      <rPr>
        <sz val="12"/>
        <color indexed="16"/>
        <rFont val="Arial"/>
        <family val="2"/>
      </rPr>
      <t>SIN IMPRIMIR</t>
    </r>
  </si>
  <si>
    <t>soledad_cristo@hotmail.com</t>
  </si>
  <si>
    <t>Luis Moreno</t>
  </si>
  <si>
    <t>C.</t>
  </si>
  <si>
    <t>F6M-624</t>
  </si>
  <si>
    <t>NO</t>
  </si>
  <si>
    <t>LW-924</t>
  </si>
  <si>
    <t>.?.</t>
  </si>
  <si>
    <t> 24370   </t>
  </si>
  <si>
    <t>juanbekich@mixmail.com</t>
  </si>
  <si>
    <t>Todos los trabajos se terminaron al 14/12/2009 OVP (Ok)</t>
  </si>
  <si>
    <t>SRT-25-269</t>
  </si>
  <si>
    <t>FUFABRISAC</t>
  </si>
  <si>
    <t>Plaqueta de Chasis</t>
  </si>
  <si>
    <t>Segura SSL / TLS</t>
  </si>
  <si>
    <t>(Recomendado)</t>
  </si>
  <si>
    <t>InternetFreeBusy</t>
  </si>
  <si>
    <t>Keywords</t>
  </si>
  <si>
    <t>Sin bisel y 1 faro</t>
  </si>
  <si>
    <t>Base roto faro</t>
  </si>
  <si>
    <t>JJPEREAN@repsolypf.com</t>
  </si>
  <si>
    <t> 150912483</t>
  </si>
  <si>
    <t>Takushi</t>
  </si>
  <si>
    <r>
      <t>ANAQUELES, REPUESTOS</t>
    </r>
    <r>
      <rPr>
        <sz val="10"/>
        <rFont val="Arial"/>
        <family val="2"/>
      </rPr>
      <t>, escritorios, sillas,01 computadora, 01 telefono</t>
    </r>
  </si>
  <si>
    <t xml:space="preserve">  Relacion de tovas</t>
  </si>
  <si>
    <t>Transmisiones</t>
  </si>
  <si>
    <t>Vigilancia</t>
  </si>
  <si>
    <t>Fred</t>
  </si>
  <si>
    <t>YG-1442</t>
  </si>
  <si>
    <t>San Isidro</t>
  </si>
  <si>
    <t>Fernando Cruz       [Sn.Isd.]</t>
  </si>
  <si>
    <t>812 *7184</t>
  </si>
  <si>
    <t>afigueroa@pecsa.com.pe</t>
  </si>
  <si>
    <t>65645-9250</t>
  </si>
  <si>
    <t>65646-9251</t>
  </si>
  <si>
    <t>65647-9252</t>
  </si>
  <si>
    <t> 27</t>
  </si>
  <si>
    <t> ZI1275</t>
  </si>
  <si>
    <t>Miercoles 04-11-15  de 2 4pm instalacion</t>
  </si>
  <si>
    <t>Armando Junco V.</t>
  </si>
  <si>
    <t>Noa</t>
  </si>
  <si>
    <t>Isidro</t>
  </si>
  <si>
    <t>Salas</t>
  </si>
  <si>
    <t>117  YG-1327</t>
  </si>
  <si>
    <t> 26</t>
  </si>
  <si>
    <t> ZI1274</t>
  </si>
  <si>
    <t> 150203079</t>
  </si>
  <si>
    <t> MMRR00299</t>
  </si>
  <si>
    <t>Total 1P27 Jhon Hinostrosa H.</t>
  </si>
  <si>
    <t>D.S.E.L.T.</t>
  </si>
  <si>
    <t>111  F1Q-805</t>
  </si>
  <si>
    <t>mbriceno@celima.com.pe</t>
  </si>
  <si>
    <t>Mayte Briceño E</t>
  </si>
  <si>
    <t>Patricio Linares Somontes</t>
  </si>
  <si>
    <t> 75946</t>
  </si>
  <si>
    <t> 41</t>
  </si>
  <si>
    <t> YG1387</t>
  </si>
  <si>
    <t> 150202989</t>
  </si>
  <si>
    <t> 75947</t>
  </si>
  <si>
    <t>Izq.</t>
  </si>
  <si>
    <t>Total Acumulado</t>
  </si>
  <si>
    <t>Quispe</t>
  </si>
  <si>
    <t>Ramos</t>
  </si>
  <si>
    <t>Cesar</t>
  </si>
  <si>
    <t>1969 / W924A / 113921</t>
  </si>
  <si>
    <t>Doble Cabina</t>
  </si>
  <si>
    <t>Nissan</t>
  </si>
  <si>
    <t>Gerente Admin.</t>
  </si>
  <si>
    <t>Supervisora de Facturación</t>
  </si>
  <si>
    <t>etiqueta de marca que el cliente desee(ud. pone su etiqueta y  si no sin etiqueta) </t>
  </si>
  <si>
    <t>de Servicio al Cliente de Shell Lubricantes</t>
  </si>
  <si>
    <t>Fec_Ingreso a TRANSCOSTA</t>
  </si>
  <si>
    <t>Fec_Ingreso a TAKUSHI</t>
  </si>
  <si>
    <t>237471JLCAD9</t>
  </si>
  <si>
    <t>584851EMMDL6</t>
  </si>
  <si>
    <t>544261ESDUA3</t>
  </si>
  <si>
    <t>Movistar 07-09-15  14 31</t>
  </si>
  <si>
    <t>OP26</t>
  </si>
  <si>
    <t>41*343*3799</t>
  </si>
  <si>
    <t>M. Carranza</t>
  </si>
  <si>
    <t>OP27</t>
  </si>
  <si>
    <t>41*343*3808</t>
  </si>
  <si>
    <t>Raul Liceras M.</t>
  </si>
  <si>
    <t>6678446-8690363</t>
  </si>
  <si>
    <t>1D39</t>
  </si>
  <si>
    <t>1D36</t>
  </si>
  <si>
    <t>Peso Seco</t>
  </si>
  <si>
    <t>HomeFax</t>
  </si>
  <si>
    <t>Particular</t>
  </si>
  <si>
    <t>HomePhone2</t>
  </si>
  <si>
    <t>1/2 kg</t>
  </si>
  <si>
    <t>Waype fino</t>
  </si>
  <si>
    <t>1/4 gln</t>
  </si>
  <si>
    <t>65689-9271</t>
  </si>
  <si>
    <t>65690-9272</t>
  </si>
  <si>
    <t>7.85 + 0.14</t>
  </si>
  <si>
    <t>Telefonica</t>
  </si>
  <si>
    <t>1 FORD Expedition 2000</t>
  </si>
  <si>
    <t> 150203067</t>
  </si>
  <si>
    <t> SRV-30-3-247</t>
  </si>
  <si>
    <t>02 equipos de soldadura autogena, 02 equipos de soldadura electrica, 01 prensa hidr de 60tns. 03 mesas de trabajo, accesorios y herramientas</t>
  </si>
  <si>
    <t xml:space="preserve">Crédito Mi Vivienda </t>
  </si>
  <si>
    <t>101-193-00000000321972</t>
  </si>
  <si>
    <t>US$ 3,301.40</t>
  </si>
  <si>
    <t>Ver</t>
  </si>
  <si>
    <t>101-193-00000000322167</t>
  </si>
  <si>
    <t>US$ 925.82</t>
  </si>
  <si>
    <t>Ve</t>
  </si>
  <si>
    <t>11605.75</t>
  </si>
  <si>
    <t>3301.4</t>
  </si>
  <si>
    <t xml:space="preserve"> 1  RAMIREZ FIASCUNARI ESTELA MORAIMA  RUC: 10085386749  A S/. 191-17228926-0-54 S/. 465.86 001-005833 TAKUSHI 001-005833 TAKUSHI Sí </t>
  </si>
  <si>
    <t>2.88*+0.43=3.31</t>
  </si>
  <si>
    <t>Kingping actuales a otros de 3" (pulg.) que luego nos seran cobrados.</t>
  </si>
  <si>
    <t>Pentium III</t>
  </si>
  <si>
    <t>Unidades ubicadas en lado derecho con vista al GRIFO</t>
  </si>
  <si>
    <t>It</t>
  </si>
  <si>
    <t>Copias de SOATs a nombre de la empresa</t>
  </si>
  <si>
    <t> 5200    </t>
  </si>
  <si>
    <r>
      <t xml:space="preserve">218  </t>
    </r>
    <r>
      <rPr>
        <sz val="9"/>
        <rFont val="Arial"/>
        <family val="2"/>
      </rPr>
      <t>ZG-7093</t>
    </r>
  </si>
  <si>
    <r>
      <t xml:space="preserve">228  </t>
    </r>
    <r>
      <rPr>
        <sz val="9"/>
        <rFont val="Arial"/>
        <family val="2"/>
      </rPr>
      <t>ZG-8712</t>
    </r>
  </si>
  <si>
    <t>150912489 / 52337-A</t>
  </si>
  <si>
    <t>Muni_Surquillo</t>
  </si>
  <si>
    <r>
      <t>Memorandum - Sem 036/2015</t>
    </r>
    <r>
      <rPr>
        <b/>
        <sz val="10"/>
        <rFont val="Courier Final Draft"/>
        <family val="3"/>
      </rPr>
      <t xml:space="preserve">   </t>
    </r>
    <r>
      <rPr>
        <sz val="10"/>
        <rFont val="Courier Final Draft"/>
        <family val="3"/>
      </rPr>
      <t xml:space="preserve">-   Fecha: 08/09/15                      </t>
    </r>
  </si>
  <si>
    <t>Descuento</t>
  </si>
  <si>
    <t>jorgez@transcosta.com.pe</t>
  </si>
  <si>
    <t>estos precios son para la tela que antes describi.</t>
  </si>
  <si>
    <t>Reintegro ORLC 24/07</t>
  </si>
  <si>
    <t> 150203064</t>
  </si>
  <si>
    <t>Celular cjpq</t>
  </si>
  <si>
    <t>Hipoteca BCP</t>
  </si>
  <si>
    <t>PRESUPUESTO de REPARACIÓN</t>
  </si>
  <si>
    <t>Jorge</t>
  </si>
  <si>
    <t>Eduardo</t>
  </si>
  <si>
    <t>Briceño</t>
  </si>
  <si>
    <t>Herrera</t>
  </si>
  <si>
    <t>Nicolas</t>
  </si>
  <si>
    <t>DAEWOO LEGANZA - 20/04/09</t>
  </si>
  <si>
    <t>Prenda BCP</t>
  </si>
  <si>
    <t>Tot-Pag/Int.</t>
  </si>
  <si>
    <t>italoc@transcosta.com.pe</t>
  </si>
  <si>
    <t>Pintado de Verde (No visible)</t>
  </si>
  <si>
    <t>No tierne plaqueta, rastro de remaches</t>
  </si>
  <si>
    <t>Manifiesta el chofer que al doblar a la derecha con la parte final</t>
  </si>
  <si>
    <t> 21</t>
  </si>
  <si>
    <t>Mariana Linares Somontes</t>
  </si>
  <si>
    <r>
      <t xml:space="preserve">221  </t>
    </r>
    <r>
      <rPr>
        <sz val="9"/>
        <rFont val="Arial"/>
        <family val="2"/>
      </rPr>
      <t>ZG-7610</t>
    </r>
  </si>
  <si>
    <t>0251356-1678705</t>
  </si>
  <si>
    <t>0251397-5928130</t>
  </si>
  <si>
    <t>0251591-8972461</t>
  </si>
  <si>
    <t>SERVOSA SHELL, Javier Mendez</t>
  </si>
  <si>
    <t>S.m.</t>
  </si>
  <si>
    <t>Pintado de todo el carro 01 baño</t>
  </si>
  <si>
    <t>S/. 800.00=</t>
  </si>
  <si>
    <t>Tiempo de Trabajo</t>
  </si>
  <si>
    <t>156  F7O-854</t>
  </si>
  <si>
    <t>200  D6F-972</t>
  </si>
  <si>
    <t>Department</t>
  </si>
  <si>
    <t>211-5638 ; 211-5630</t>
  </si>
  <si>
    <t>C-401 Suarez</t>
  </si>
  <si>
    <t>Rec. Simple</t>
  </si>
  <si>
    <t>Mensual</t>
  </si>
  <si>
    <t>Usted podrá recoger su Clave de Seguridad en:</t>
  </si>
  <si>
    <t>USUARIO</t>
  </si>
  <si>
    <t xml:space="preserve"> de las unidades:</t>
  </si>
  <si>
    <t>Año   Fabr.</t>
  </si>
  <si>
    <t>Pintura Glasurit Uretana  - Color NEGRO [ linea 55] + Thiner</t>
  </si>
  <si>
    <t>Desktop</t>
  </si>
  <si>
    <t>Tamara</t>
  </si>
  <si>
    <t>Pedreros</t>
  </si>
  <si>
    <t> 113921</t>
  </si>
  <si>
    <t> 56</t>
  </si>
  <si>
    <t>Yong López</t>
  </si>
  <si>
    <t>CMAC ICA S.A.</t>
  </si>
  <si>
    <t> 113918</t>
  </si>
  <si>
    <t> 71</t>
  </si>
  <si>
    <t> ZG1401</t>
  </si>
  <si>
    <t>Ignasio Rospigliosi R.</t>
  </si>
  <si>
    <t>Brevete</t>
  </si>
  <si>
    <t>65678-9268</t>
  </si>
  <si>
    <t>65679-9269</t>
  </si>
  <si>
    <t>NuevaPlacaColocada</t>
  </si>
  <si>
    <t>Al 15/08/2014</t>
  </si>
  <si>
    <t>65688-9270</t>
  </si>
  <si>
    <t>joshiro@meridian.com.pe</t>
  </si>
  <si>
    <t>Jenny Oshiro</t>
  </si>
  <si>
    <t>J.O.</t>
  </si>
  <si>
    <t>Fanny</t>
  </si>
  <si>
    <t>69 / W924A / 113923</t>
  </si>
  <si>
    <t>JEFE OPERACIONES</t>
  </si>
  <si>
    <t>08505391</t>
  </si>
  <si>
    <t>IZAGUIRRE MANRIQUE HERMES AUGUSTO</t>
  </si>
  <si>
    <t>Claiton Salas</t>
  </si>
  <si>
    <t>Javier Malaga C.</t>
  </si>
  <si>
    <t>002173-6512071</t>
  </si>
  <si>
    <t>191-20714666-0-03</t>
  </si>
  <si>
    <t>193-15953664-0-10</t>
  </si>
  <si>
    <t xml:space="preserve"> Julio Sencia Ollachica</t>
  </si>
  <si>
    <t>NISSAN BLANCA</t>
  </si>
  <si>
    <t>479-2335</t>
  </si>
  <si>
    <t>BOBBIO AGUILAR NEON SAMUEL</t>
  </si>
  <si>
    <t>19856988</t>
  </si>
  <si>
    <t>ibellido@limacaucho.com.pe</t>
  </si>
  <si>
    <t>ASMAT CENTENO, MARIANO</t>
  </si>
  <si>
    <t>Febrero</t>
  </si>
  <si>
    <t>58462-5468</t>
  </si>
  <si>
    <t>BusinessFax</t>
  </si>
  <si>
    <t>Lija para agua # 1500  3M</t>
  </si>
  <si>
    <t>LISTO EL CHORRILLANO</t>
  </si>
  <si>
    <t xml:space="preserve">  Nombre de Trabajador</t>
  </si>
  <si>
    <t>07627204</t>
  </si>
  <si>
    <t>viento_1484@hotmail.com</t>
  </si>
  <si>
    <t xml:space="preserve">pec_pampilla@pecsa.com.pe_x000D_
</t>
  </si>
  <si>
    <t>Charo</t>
  </si>
  <si>
    <t>Código</t>
  </si>
  <si>
    <t>Nº Nextel</t>
  </si>
  <si>
    <t>Usuario</t>
  </si>
  <si>
    <t xml:space="preserve"> Unidades en Tramites : MTC - Tarjeta de circulacion</t>
  </si>
  <si>
    <t>amcllantas_arismendis@hotmail.com</t>
  </si>
  <si>
    <t>Horario 07:00 - 15:00hrs.</t>
  </si>
  <si>
    <t>577-7196</t>
  </si>
  <si>
    <t>ZG-6935</t>
  </si>
  <si>
    <t>SRV-40-3-050</t>
  </si>
  <si>
    <t>SRV-40-3-051</t>
  </si>
  <si>
    <t>FORD Expedition</t>
  </si>
  <si>
    <t>TOYOTA Caldina</t>
  </si>
  <si>
    <t>RELACION DE UNIDADES PARA ABASTECIMIENTO DE COMBUSTIBLE</t>
  </si>
  <si>
    <t>Auto</t>
  </si>
  <si>
    <t>Cmta</t>
  </si>
  <si>
    <t>Moto</t>
  </si>
  <si>
    <t>nº ejes</t>
  </si>
  <si>
    <t> 150203002</t>
  </si>
  <si>
    <t>6181-2243</t>
  </si>
  <si>
    <t>6182-2244</t>
  </si>
  <si>
    <t>6185-2245</t>
  </si>
  <si>
    <t>01computadora, escritorio,03 mesas de trabajo, 01 prensa chica, anaqueles de rep_usados, coches de mecanicos y herramientas varias.</t>
  </si>
  <si>
    <t> SRV-2N4054117</t>
  </si>
  <si>
    <t> 1992</t>
  </si>
  <si>
    <t>karen@qvelectronica.com</t>
  </si>
  <si>
    <t>Q.V. Electronica(Karen)</t>
  </si>
  <si>
    <t xml:space="preserve"> _x000D_
</t>
  </si>
  <si>
    <t> 150913206</t>
  </si>
  <si>
    <t> 8250    </t>
  </si>
  <si>
    <t>TR-28501</t>
  </si>
  <si>
    <t>65636-9244</t>
  </si>
  <si>
    <t>65637-9245</t>
  </si>
  <si>
    <t>fvargas@relima.com.pe</t>
  </si>
  <si>
    <t>BMW</t>
  </si>
  <si>
    <r>
      <t>Propietario:</t>
    </r>
    <r>
      <rPr>
        <b/>
        <sz val="10"/>
        <color indexed="56"/>
        <rFont val="Arial"/>
        <family val="2"/>
      </rPr>
      <t>CESAR QUISPE RAMOS</t>
    </r>
    <r>
      <rPr>
        <sz val="8"/>
        <color indexed="56"/>
        <rFont val="Arial"/>
        <family val="2"/>
      </rPr>
      <t xml:space="preserve">  Uso: Particular Telf ref.: 998-131-865 </t>
    </r>
    <r>
      <rPr>
        <b/>
        <sz val="8"/>
        <color indexed="56"/>
        <rFont val="Arial"/>
        <family val="2"/>
      </rPr>
      <t>Documentos a presentar :</t>
    </r>
    <r>
      <rPr>
        <sz val="8"/>
        <color indexed="56"/>
        <rFont val="Arial"/>
        <family val="2"/>
      </rPr>
      <t xml:space="preserve"> Tarjeta de propiedad, SOAT, vigente, Licencia de conducir vigente.</t>
    </r>
    <r>
      <rPr>
        <b/>
        <sz val="8"/>
        <color indexed="56"/>
        <rFont val="Arial"/>
        <family val="2"/>
      </rPr>
      <t xml:space="preserve"> El vehículo debe contar con:</t>
    </r>
    <r>
      <rPr>
        <sz val="8"/>
        <color indexed="56"/>
        <rFont val="Arial"/>
        <family val="2"/>
      </rPr>
      <t xml:space="preserve"> Rueda de repuesto, Gata, Llave de ruedas, Triangulo de seguridad.</t>
    </r>
  </si>
  <si>
    <t>58482-5479</t>
  </si>
  <si>
    <t>SENCIA OLLACHICA JULIO [Sn.Isd.]</t>
  </si>
  <si>
    <t>01 estructura y tecle de 05Tns</t>
  </si>
  <si>
    <t xml:space="preserve">  TrackLog</t>
  </si>
  <si>
    <t>Izq</t>
  </si>
  <si>
    <t> 150203014</t>
  </si>
  <si>
    <t>Lija para agua # 150  ASA</t>
  </si>
  <si>
    <t>MMRR00499</t>
  </si>
  <si>
    <t>PECSA - Ernesto</t>
  </si>
  <si>
    <t>García P.</t>
  </si>
  <si>
    <t>Tk-SAC2000</t>
  </si>
  <si>
    <t xml:space="preserve">http://www.placas.pe </t>
  </si>
  <si>
    <t>Placas.pe</t>
  </si>
  <si>
    <t>150913208 / 53037-A</t>
  </si>
  <si>
    <t>150912717 / 52565-A</t>
  </si>
  <si>
    <t>Aguirre</t>
  </si>
  <si>
    <t>Jauregui</t>
  </si>
  <si>
    <t> MMRR00499</t>
  </si>
  <si>
    <t> 28</t>
  </si>
  <si>
    <t>Facturación</t>
  </si>
  <si>
    <t>Género</t>
  </si>
  <si>
    <t>65657-9257</t>
  </si>
  <si>
    <t>Chasis doblado, Cabina siniestrada, pocos accesorios</t>
  </si>
  <si>
    <t>ZG-7861</t>
  </si>
  <si>
    <t> 9960    </t>
  </si>
  <si>
    <t> 150915169</t>
  </si>
  <si>
    <t> 9580    </t>
  </si>
  <si>
    <t>Asesor Técnico</t>
  </si>
  <si>
    <t> 0  </t>
  </si>
  <si>
    <t> 8290   </t>
  </si>
  <si>
    <t> 8630   </t>
  </si>
  <si>
    <t> 20492292592</t>
  </si>
  <si>
    <t> Avenida REPUBLICA DE PANAMA  3411  Dpto. LIMA Prov. LIMA Dist. SAN ISIDRO</t>
  </si>
  <si>
    <t>unidosporcristo97@hotmail.com</t>
  </si>
  <si>
    <t>Juan 17,21</t>
  </si>
  <si>
    <t>6678728-8996610</t>
  </si>
  <si>
    <t>0242063-5488828</t>
  </si>
  <si>
    <t>1D24</t>
  </si>
  <si>
    <t>Jose Cruzado B.</t>
  </si>
  <si>
    <t>FWC-510508</t>
  </si>
  <si>
    <t>Herramientas de presicion y de proposito especial</t>
  </si>
  <si>
    <t>69 / W924A / 113915</t>
  </si>
  <si>
    <t>Cta. Ahorros M.N. 04-011-217422</t>
  </si>
  <si>
    <t>4214-1000-0849-9859</t>
  </si>
  <si>
    <t>3.37**</t>
  </si>
  <si>
    <t>FTUESTAF@repsolypf.COM</t>
  </si>
  <si>
    <t>TUESTA FEIJOO, FRANK</t>
  </si>
  <si>
    <t>F.T.F.</t>
  </si>
  <si>
    <t>Ana</t>
  </si>
  <si>
    <t>213-2200</t>
  </si>
  <si>
    <t>213-2860</t>
  </si>
  <si>
    <t>9962-0659</t>
  </si>
  <si>
    <t>mrivas@pecsa.com.pe</t>
  </si>
  <si>
    <t>SERVOSA SHELL - Marco Aguirre Jauregui (servosashell.marcoaguirre@gmail.com)</t>
  </si>
  <si>
    <t>Númerodecentralitadelaorganización</t>
  </si>
  <si>
    <t> 150203034</t>
  </si>
  <si>
    <r>
      <t xml:space="preserve">356  </t>
    </r>
    <r>
      <rPr>
        <sz val="9"/>
        <color indexed="10"/>
        <rFont val="Arial"/>
        <family val="2"/>
      </rPr>
      <t xml:space="preserve">ZG-7952 </t>
    </r>
  </si>
  <si>
    <t>E/S FERRERO</t>
  </si>
  <si>
    <t>CRUZADO BURGOS SANTOS ELIGIO</t>
  </si>
  <si>
    <t>VIGILANTE</t>
  </si>
  <si>
    <t>08243292</t>
  </si>
  <si>
    <t>Swicth Dlink 16ptos,</t>
  </si>
  <si>
    <t>Zanjas</t>
  </si>
  <si>
    <t>Cuarto</t>
  </si>
  <si>
    <t>Nestor.Montoya@latam.shell.com</t>
  </si>
  <si>
    <t> 123939</t>
  </si>
  <si>
    <t> 67</t>
  </si>
  <si>
    <t> YG6161</t>
  </si>
  <si>
    <t>OrganizationalIDNumber</t>
  </si>
  <si>
    <t>150912474 / 52340-A</t>
  </si>
  <si>
    <t>164  F2R-709</t>
  </si>
  <si>
    <t>166  F2R-880</t>
  </si>
  <si>
    <t>213  C0T-998</t>
  </si>
  <si>
    <t>A.V.</t>
  </si>
  <si>
    <t>Concesionario</t>
  </si>
  <si>
    <t>Cambio de Aceite G.E. HONDA</t>
  </si>
  <si>
    <t>a las</t>
  </si>
  <si>
    <t>&lt;--</t>
  </si>
  <si>
    <t>Promedio</t>
  </si>
  <si>
    <t>Juan Balbín</t>
  </si>
  <si>
    <t>941838763</t>
  </si>
  <si>
    <t>Teófilo Cuadros</t>
  </si>
  <si>
    <t>Representante de Ventas</t>
  </si>
  <si>
    <t> 4082   </t>
  </si>
  <si>
    <t> 33000  </t>
  </si>
  <si>
    <t> 7000   </t>
  </si>
  <si>
    <t> 33310  </t>
  </si>
  <si>
    <t>Serie Chasis</t>
  </si>
  <si>
    <t>Año Fabricación</t>
  </si>
  <si>
    <t>N° Ejes</t>
  </si>
  <si>
    <t>01 Lavadora a presion 01 bomba hidrostatica</t>
  </si>
  <si>
    <t>ZG-6765</t>
  </si>
  <si>
    <t>Ok 28/09</t>
  </si>
  <si>
    <t>Ok 11/11</t>
  </si>
  <si>
    <t>Se intercambia Placas y Plq(chasis)</t>
  </si>
  <si>
    <t xml:space="preserve">Marco Aguirre J. </t>
  </si>
  <si>
    <t>SRV-40-3-009</t>
  </si>
  <si>
    <t>N/A</t>
  </si>
  <si>
    <t>SRV-40-3-008</t>
  </si>
  <si>
    <t> 150203074</t>
  </si>
  <si>
    <t>Cuotas S/.</t>
  </si>
  <si>
    <t>36729-5335147</t>
  </si>
  <si>
    <t>115968-2544994</t>
  </si>
  <si>
    <t>J. Huamani</t>
  </si>
  <si>
    <t>4 und</t>
  </si>
  <si>
    <t>Inst JOSE PARDO</t>
  </si>
  <si>
    <t>330-4428</t>
  </si>
  <si>
    <t>Trib B_Nacion</t>
  </si>
  <si>
    <t>. 000028943</t>
  </si>
  <si>
    <t> 150303CNG  - TRANSCOSTA S.A.</t>
  </si>
  <si>
    <t> ZG3491</t>
  </si>
  <si>
    <t>grisamh@hotmail.com</t>
  </si>
  <si>
    <t>Maribel Hinostroza</t>
  </si>
  <si>
    <t>M.H.</t>
  </si>
  <si>
    <t>Repsol</t>
  </si>
  <si>
    <t>Pampilla</t>
  </si>
  <si>
    <t>25440374</t>
  </si>
  <si>
    <t>Av.  Javier Prado Este 6310  (antes 610)</t>
  </si>
  <si>
    <t>41692788</t>
  </si>
  <si>
    <t> H-032</t>
  </si>
  <si>
    <t> 85</t>
  </si>
  <si>
    <t>Electricidad</t>
  </si>
  <si>
    <t>Atte Guisela Vargas</t>
  </si>
  <si>
    <t>EGUSQUIZA LA TORRE</t>
  </si>
  <si>
    <t>7.86 + 0.11</t>
  </si>
  <si>
    <t>2.93*+0.42=3.35</t>
  </si>
  <si>
    <t>Nombre</t>
  </si>
  <si>
    <t>Software de Oficina</t>
  </si>
  <si>
    <t>ZG-6936</t>
  </si>
  <si>
    <t>ZG-6831</t>
  </si>
  <si>
    <t>ZG-7609</t>
  </si>
  <si>
    <t>ZG-8712</t>
  </si>
  <si>
    <t>ZG-6830</t>
  </si>
  <si>
    <t>Vencim</t>
  </si>
  <si>
    <t>09802451</t>
  </si>
  <si>
    <t>msm326@hotmail.com</t>
  </si>
  <si>
    <t>8.-</t>
  </si>
  <si>
    <t>9.-</t>
  </si>
  <si>
    <t xml:space="preserve"> 10.-</t>
  </si>
  <si>
    <t>4506 4600 1334 5936</t>
  </si>
  <si>
    <t>YG-1362</t>
  </si>
  <si>
    <t>YG-1263</t>
  </si>
  <si>
    <t>Detec S.A.</t>
  </si>
  <si>
    <t>TOYOTA Corona</t>
  </si>
  <si>
    <t xml:space="preserve">BMW 530i </t>
  </si>
  <si>
    <t>Av. Alameda del Corregidor 1195</t>
  </si>
  <si>
    <t>La Molina</t>
  </si>
  <si>
    <t>Cabrera</t>
  </si>
  <si>
    <r>
      <t>DEUDA atp 3518933</t>
    </r>
    <r>
      <rPr>
        <b/>
        <sz val="8"/>
        <color indexed="10"/>
        <rFont val="Arial Narrow"/>
        <family val="2"/>
      </rPr>
      <t xml:space="preserve"> S/. 1.00 </t>
    </r>
    <r>
      <rPr>
        <sz val="8"/>
        <rFont val="Arial Narrow"/>
        <family val="2"/>
      </rPr>
      <t xml:space="preserve">Tarjeta Visa Clásica
4506-4600-1334-5936  </t>
    </r>
  </si>
  <si>
    <t> YG1388</t>
  </si>
  <si>
    <t> 150402531</t>
  </si>
  <si>
    <t> 43</t>
  </si>
  <si>
    <t> YG1395</t>
  </si>
  <si>
    <t> 150202990</t>
  </si>
  <si>
    <t> 104463</t>
  </si>
  <si>
    <t>jose.meseguer@latam.shell.com</t>
  </si>
  <si>
    <r>
      <t xml:space="preserve">308  </t>
    </r>
    <r>
      <rPr>
        <sz val="9"/>
        <rFont val="Arial"/>
        <family val="2"/>
      </rPr>
      <t>ZG-1432</t>
    </r>
  </si>
  <si>
    <r>
      <t xml:space="preserve">315  </t>
    </r>
    <r>
      <rPr>
        <sz val="9"/>
        <rFont val="Arial"/>
        <family val="2"/>
      </rPr>
      <t>ZG-1507</t>
    </r>
  </si>
  <si>
    <r>
      <t xml:space="preserve">338  </t>
    </r>
    <r>
      <rPr>
        <sz val="9"/>
        <rFont val="Arial"/>
        <family val="2"/>
      </rPr>
      <t>ZG-3485</t>
    </r>
  </si>
  <si>
    <r>
      <t xml:space="preserve">339  </t>
    </r>
    <r>
      <rPr>
        <sz val="9"/>
        <rFont val="Arial"/>
        <family val="2"/>
      </rPr>
      <t>ZG-3486</t>
    </r>
  </si>
  <si>
    <t>leydy_j1@hotmail.com</t>
  </si>
  <si>
    <t>01/08/08 Ok ORLC</t>
  </si>
  <si>
    <t>59016-5501</t>
  </si>
  <si>
    <r>
      <t xml:space="preserve">Pendiente por observacion error Rectif Ofic 27/10 </t>
    </r>
    <r>
      <rPr>
        <b/>
        <sz val="12"/>
        <color indexed="10"/>
        <rFont val="Arial"/>
        <family val="2"/>
      </rPr>
      <t>Se Termino al 14/11/2008</t>
    </r>
  </si>
  <si>
    <t>ROMERO TERAN CESAR ALBERTO</t>
  </si>
  <si>
    <t>44202797</t>
  </si>
  <si>
    <t>Aficiones</t>
  </si>
  <si>
    <t>mi celular  991801567</t>
  </si>
  <si>
    <t>A-402 Suarez</t>
  </si>
  <si>
    <t>Milton Mancilla</t>
  </si>
  <si>
    <t>6971091</t>
  </si>
  <si>
    <t>DIRECCION GENERAL DE TRANSPORTE TERRESTRE</t>
  </si>
  <si>
    <t xml:space="preserve">Serie: RX800022981 </t>
  </si>
  <si>
    <t xml:space="preserve">Motor: 22R3261577 </t>
  </si>
  <si>
    <t>Alberto</t>
  </si>
  <si>
    <t>Felix</t>
  </si>
  <si>
    <t>Marco</t>
  </si>
  <si>
    <t>Oct</t>
  </si>
  <si>
    <r>
      <t xml:space="preserve">1 </t>
    </r>
    <r>
      <rPr>
        <b/>
        <sz val="10"/>
        <rFont val="Arial"/>
        <family val="2"/>
      </rPr>
      <t xml:space="preserve">JUAN ANTONIO SAGARDIA MARQUINA </t>
    </r>
    <r>
      <rPr>
        <sz val="10"/>
        <rFont val="Arial"/>
        <family val="2"/>
      </rPr>
      <t xml:space="preserve">DNI: 22282184  A S/. 193-15953342-0-85 </t>
    </r>
    <r>
      <rPr>
        <b/>
        <sz val="10"/>
        <rFont val="Arial"/>
        <family val="2"/>
      </rPr>
      <t>S/. 100.00</t>
    </r>
    <r>
      <rPr>
        <sz val="10"/>
        <rFont val="Arial"/>
        <family val="2"/>
      </rPr>
      <t xml:space="preserve"> PRESTAMO PRESTAMO Sí  </t>
    </r>
  </si>
  <si>
    <t>Israel</t>
  </si>
  <si>
    <t>015403</t>
  </si>
  <si>
    <t>015392</t>
  </si>
  <si>
    <t>014766</t>
  </si>
  <si>
    <t>014670</t>
  </si>
  <si>
    <t>011183</t>
  </si>
  <si>
    <t>07747366</t>
  </si>
  <si>
    <t>Electricista</t>
  </si>
  <si>
    <t>Grupo Pana  616-8600 Av La Marina 3240 -San Miguel</t>
  </si>
  <si>
    <t>Luis Urbina 616-8600 Anx 3503</t>
  </si>
  <si>
    <t> FWD-750207</t>
  </si>
  <si>
    <t>Otero</t>
  </si>
  <si>
    <t> 150913196</t>
  </si>
  <si>
    <t xml:space="preserve">1  TURBO CENTER S.A.C.  RUC: 20507621814  C US$ 193-1423599-1-96 US$ 270.00 001-008245 001-008245 Sí </t>
  </si>
  <si>
    <t>7.85 + 0.12</t>
  </si>
  <si>
    <t>F7O-759</t>
  </si>
  <si>
    <t>F6P-935</t>
  </si>
  <si>
    <t>F6P-936</t>
  </si>
  <si>
    <t>F7O-758</t>
  </si>
  <si>
    <t>F1Q-805</t>
  </si>
  <si>
    <t>F7O-854</t>
  </si>
  <si>
    <t>B1Y-978</t>
  </si>
  <si>
    <t>O4 / PLATAFORMA BARANDA</t>
  </si>
  <si>
    <t>C9T-990</t>
  </si>
  <si>
    <t>D6E-994</t>
  </si>
  <si>
    <t>166083-5632856</t>
  </si>
  <si>
    <t>286373-5588370</t>
  </si>
  <si>
    <t>746627-7000818</t>
  </si>
  <si>
    <t>190485-8094316</t>
  </si>
  <si>
    <t>746865-1793676</t>
  </si>
  <si>
    <t>Javier Málaga</t>
  </si>
  <si>
    <t>jmalaga@malaga-webb.com</t>
  </si>
  <si>
    <t>Jose Málaga Cochella</t>
  </si>
  <si>
    <t>malagajo@santillana.es</t>
  </si>
  <si>
    <t>Nora Malaga</t>
  </si>
  <si>
    <t>Luis Valle acevedo</t>
  </si>
  <si>
    <t>01 maq. Lavadora, 01 bomba de agua, 01 tanque p agua, mangueras de lavado</t>
  </si>
  <si>
    <t>William Julian Camones Meneses</t>
  </si>
  <si>
    <t>José Fernando Zavala Carbajal</t>
  </si>
  <si>
    <t>faja de alternador TR 22350</t>
  </si>
  <si>
    <t>unds.</t>
  </si>
  <si>
    <t>Unidad que será transformada en Carreta porta-contenedor (16/01/09atp)</t>
  </si>
  <si>
    <t>SRV-40-3-035</t>
  </si>
  <si>
    <t>Fisico completo</t>
  </si>
  <si>
    <t>Jose Virgilio Martinez Loaiza</t>
  </si>
  <si>
    <r>
      <t xml:space="preserve">1 </t>
    </r>
    <r>
      <rPr>
        <b/>
        <sz val="10"/>
        <rFont val="Arial"/>
        <family val="2"/>
      </rPr>
      <t xml:space="preserve">UBELSER MARTINEZ TERRONES </t>
    </r>
    <r>
      <rPr>
        <sz val="10"/>
        <rFont val="Arial"/>
        <family val="2"/>
      </rPr>
      <t xml:space="preserve">DNI: 10208432  A S/. 192-19408915-0-63 </t>
    </r>
    <r>
      <rPr>
        <b/>
        <sz val="10"/>
        <rFont val="Arial"/>
        <family val="2"/>
      </rPr>
      <t>S/. 200.00</t>
    </r>
    <r>
      <rPr>
        <sz val="10"/>
        <rFont val="Arial"/>
        <family val="2"/>
      </rPr>
      <t xml:space="preserve"> PRESTAMO PRESTAMO Sí  </t>
    </r>
  </si>
  <si>
    <t>150829866 / 38574-A</t>
  </si>
  <si>
    <t>6186-2246</t>
  </si>
  <si>
    <t>6187-2247</t>
  </si>
  <si>
    <t>285259-3577673</t>
  </si>
  <si>
    <t>284884-6323427</t>
  </si>
  <si>
    <t>TPC –NEPTUNIA</t>
  </si>
  <si>
    <t>000437-4023649</t>
  </si>
  <si>
    <t>1D77</t>
  </si>
  <si>
    <t>190391-4496554</t>
  </si>
  <si>
    <t>190391-4508824</t>
  </si>
  <si>
    <t>285400-6446714</t>
  </si>
  <si>
    <t>005649-9747559</t>
  </si>
  <si>
    <t>99-822 *3992</t>
  </si>
  <si>
    <t>anatec@speedy.com.pe</t>
  </si>
  <si>
    <t>971532369</t>
  </si>
  <si>
    <t>Argenis Jacobo</t>
  </si>
  <si>
    <t>941945726</t>
  </si>
  <si>
    <t>971528663</t>
  </si>
  <si>
    <t xml:space="preserve">Denis Ramos </t>
  </si>
  <si>
    <t>941944111</t>
  </si>
  <si>
    <t>59033-5515</t>
  </si>
  <si>
    <t>Peruana de Combustibles S.A.</t>
  </si>
  <si>
    <t>Supervisor Comerciar - Sector Transporte</t>
  </si>
  <si>
    <t>Taller Mant.</t>
  </si>
  <si>
    <t>Grifo</t>
  </si>
  <si>
    <t>Y5-6159</t>
  </si>
  <si>
    <t>Pedir Cmb Motor??</t>
  </si>
  <si>
    <r>
      <t>x</t>
    </r>
    <r>
      <rPr>
        <b/>
        <sz val="9"/>
        <rFont val="Arial"/>
        <family val="2"/>
      </rPr>
      <t xml:space="preserve"> 219  </t>
    </r>
    <r>
      <rPr>
        <sz val="9"/>
        <rFont val="Arial"/>
        <family val="2"/>
      </rPr>
      <t>ZG-7092</t>
    </r>
  </si>
  <si>
    <r>
      <t xml:space="preserve">x </t>
    </r>
    <r>
      <rPr>
        <b/>
        <sz val="9"/>
        <rFont val="Arial"/>
        <family val="2"/>
      </rPr>
      <t xml:space="preserve">215  </t>
    </r>
    <r>
      <rPr>
        <sz val="9"/>
        <rFont val="Arial"/>
        <family val="2"/>
      </rPr>
      <t>ZG-6936</t>
    </r>
  </si>
  <si>
    <t>109  F3P-862</t>
  </si>
  <si>
    <t>153  F3Q-893</t>
  </si>
  <si>
    <t> 75</t>
  </si>
  <si>
    <t> ZG1682</t>
  </si>
  <si>
    <t>J.L.M.</t>
  </si>
  <si>
    <t>Irina</t>
  </si>
  <si>
    <t>58403-5438</t>
  </si>
  <si>
    <t>Número de RUC</t>
  </si>
  <si>
    <t>Irving Huaringa</t>
  </si>
  <si>
    <t>150912479 / 52327-A</t>
  </si>
  <si>
    <t>150912487 / 52335-A</t>
  </si>
  <si>
    <t>Mv-01</t>
  </si>
  <si>
    <t>Cmta-Pickup</t>
  </si>
  <si>
    <r>
      <t xml:space="preserve">229  </t>
    </r>
    <r>
      <rPr>
        <sz val="9"/>
        <rFont val="Arial"/>
        <family val="2"/>
      </rPr>
      <t>ZG-8742</t>
    </r>
  </si>
  <si>
    <r>
      <t xml:space="preserve">210  </t>
    </r>
    <r>
      <rPr>
        <sz val="9"/>
        <rFont val="Arial"/>
        <family val="2"/>
      </rPr>
      <t>ZG-6829</t>
    </r>
  </si>
  <si>
    <r>
      <t xml:space="preserve">220  </t>
    </r>
    <r>
      <rPr>
        <sz val="9"/>
        <color indexed="10"/>
        <rFont val="Arial"/>
        <family val="2"/>
      </rPr>
      <t>ZG-7609</t>
    </r>
  </si>
  <si>
    <t>Lizardo Flores</t>
  </si>
  <si>
    <t>PC Portatil</t>
  </si>
  <si>
    <t>150912490 / 52338-A</t>
  </si>
  <si>
    <t>J.F.Z.C.</t>
  </si>
  <si>
    <t>Fernando</t>
  </si>
  <si>
    <t> ZG1462</t>
  </si>
  <si>
    <t> 150203019</t>
  </si>
  <si>
    <t xml:space="preserve">Serie : </t>
  </si>
  <si>
    <t>115967-2544989</t>
  </si>
  <si>
    <t>116017-7844090</t>
  </si>
  <si>
    <t>115982-4547050</t>
  </si>
  <si>
    <t>115997-1411642</t>
  </si>
  <si>
    <t>1D71</t>
  </si>
  <si>
    <t>115984-4676237</t>
  </si>
  <si>
    <t>116018-8015732</t>
  </si>
  <si>
    <t>115965-3462698</t>
  </si>
  <si>
    <t>116000-1545209</t>
  </si>
  <si>
    <t>115980-3037664</t>
  </si>
  <si>
    <t>1D80</t>
  </si>
  <si>
    <t>41*343*3750</t>
  </si>
  <si>
    <t>L. Flores</t>
  </si>
  <si>
    <t>OP24</t>
  </si>
  <si>
    <t>41*343*3758</t>
  </si>
  <si>
    <t>O. Juarez</t>
  </si>
  <si>
    <t>OP25</t>
  </si>
  <si>
    <t>41*343*3766</t>
  </si>
  <si>
    <t>Roberto</t>
  </si>
  <si>
    <t>Birthday</t>
  </si>
  <si>
    <t>2/11/15 15:50hrs  Srta Fatima Palacios</t>
  </si>
  <si>
    <t>Si</t>
  </si>
  <si>
    <t>L-924</t>
  </si>
  <si>
    <t>Cp_Inf</t>
  </si>
  <si>
    <t>Alex Chiclote</t>
  </si>
  <si>
    <t>Espigon 5 del T.P.C. Al 11/11/10 a 17:00hrs aprox</t>
  </si>
  <si>
    <t>E/S LA MOLINA</t>
  </si>
  <si>
    <t>0083847-5784855</t>
  </si>
  <si>
    <t>0083868-7461261</t>
  </si>
  <si>
    <t>TPC – RANSA</t>
  </si>
  <si>
    <t>0085534-6407852</t>
  </si>
  <si>
    <t>0083888-6479418</t>
  </si>
  <si>
    <t>TPC - SN AGUSTIN</t>
  </si>
  <si>
    <t>lurbina@grupopana.com.pe</t>
  </si>
  <si>
    <t>Grupo Pana</t>
  </si>
  <si>
    <t>S.S.W.A.</t>
  </si>
  <si>
    <t xml:space="preserve">_x000D_
</t>
  </si>
  <si>
    <t>(Mts)</t>
  </si>
  <si>
    <t xml:space="preserve"> Nº MOTOR </t>
  </si>
  <si>
    <t>7.70 + .12</t>
  </si>
  <si>
    <t>2.83* + 0.53</t>
  </si>
  <si>
    <t>2.53 + 0.01</t>
  </si>
  <si>
    <t>72 / W-924 / 123940</t>
  </si>
  <si>
    <t>Nro de Pedido</t>
  </si>
  <si>
    <t>7DIAS Calendarios</t>
  </si>
  <si>
    <t> 101120</t>
  </si>
  <si>
    <t>Pagos realizados por dias de Descanco Medico a Mariano Asmat C. Por DEPOSITO EN CTA: AHORROS</t>
  </si>
  <si>
    <t>Periodo</t>
  </si>
  <si>
    <t>Desde</t>
  </si>
  <si>
    <t>ACQ-207</t>
  </si>
  <si>
    <t>1 VOLSKW TOUAREG 3.6 V6 FSI TIP</t>
  </si>
  <si>
    <t>GQ-3953</t>
  </si>
  <si>
    <t>10716830  a 1 Pasajero</t>
  </si>
  <si>
    <t>Takushi S.A.C.</t>
  </si>
  <si>
    <t>Semi-Remolque</t>
  </si>
  <si>
    <t> 150203056</t>
  </si>
  <si>
    <t> SRV403053</t>
  </si>
  <si>
    <t> 1994</t>
  </si>
  <si>
    <t> 25000   </t>
  </si>
  <si>
    <t> 7000    </t>
  </si>
  <si>
    <t> 5</t>
  </si>
  <si>
    <t> ZG6935</t>
  </si>
  <si>
    <t>58412-5443</t>
  </si>
  <si>
    <t>BRICEÑO HERRERA NICOLAS CARLOS</t>
  </si>
  <si>
    <t>Chofer-Enllantador</t>
  </si>
  <si>
    <t>Junio</t>
  </si>
  <si>
    <t>NH250-366729 a 1 Pasaj.</t>
  </si>
  <si>
    <t>Contraseña  :   003663</t>
  </si>
  <si>
    <t>1 DAEWOO Leganza</t>
  </si>
  <si>
    <t>1 KIA Sorento</t>
  </si>
  <si>
    <t>1 TOYOTA Land Crusier</t>
  </si>
  <si>
    <t>2 DATSUN Marfil NLA10</t>
  </si>
  <si>
    <t>67503-9280</t>
  </si>
  <si>
    <t>Inicio</t>
  </si>
  <si>
    <t>P.L.C.</t>
  </si>
  <si>
    <t>mqh13@cesaro.com.pe</t>
  </si>
  <si>
    <t>002107</t>
  </si>
  <si>
    <t>ignaciorospigliosi@gmail.com</t>
  </si>
  <si>
    <t>PECSA_Pampilla (pec_pampilla@pecsa.com.pe)</t>
  </si>
  <si>
    <t>P.</t>
  </si>
  <si>
    <t>Año, Semana Tipo de pago</t>
  </si>
  <si>
    <t>Observacion</t>
  </si>
  <si>
    <t>Acumulados</t>
  </si>
  <si>
    <t>Mes</t>
  </si>
  <si>
    <t>Importe</t>
  </si>
  <si>
    <t>SIN REMUNERACION</t>
  </si>
  <si>
    <t>Enero</t>
  </si>
  <si>
    <t>142.6</t>
  </si>
  <si>
    <t>129.90</t>
  </si>
  <si>
    <t>74.80</t>
  </si>
  <si>
    <t>DUO 8MB</t>
  </si>
  <si>
    <t xml:space="preserve"> DNI.FIJA.PE@TELEFONICA.COM</t>
  </si>
  <si>
    <t>7DIAS</t>
  </si>
  <si>
    <t xml:space="preserve"> Pedido: 20492292592</t>
  </si>
  <si>
    <t> SRV-40-3-124</t>
  </si>
  <si>
    <t>150913195 / 53024-A</t>
  </si>
  <si>
    <t>PECSA Ernesto García P.</t>
  </si>
  <si>
    <r>
      <t xml:space="preserve"> 2 NICOLAS CARLOS BRICENO HERRERA DNI: 25741168  A S/. 193-15953340-0-83 </t>
    </r>
    <r>
      <rPr>
        <b/>
        <sz val="10"/>
        <rFont val="Arial"/>
        <family val="2"/>
      </rPr>
      <t>S/. 832.26</t>
    </r>
    <r>
      <rPr>
        <sz val="10"/>
        <rFont val="Arial"/>
        <family val="2"/>
      </rPr>
      <t xml:space="preserve"> SALDO GRATIF SALDO GRATIF Sí  </t>
    </r>
  </si>
  <si>
    <t>hilos</t>
  </si>
  <si>
    <t>Vargas</t>
  </si>
  <si>
    <t>Extintores</t>
  </si>
  <si>
    <t>COORDINADOR DE OPERACIONES</t>
  </si>
  <si>
    <t>06174371</t>
  </si>
  <si>
    <t>Otraciudad</t>
  </si>
  <si>
    <t>ORTIZ FERNANDEZ MARCELO EUSTAQU</t>
  </si>
  <si>
    <t>P. U.</t>
  </si>
  <si>
    <t>U_Med</t>
  </si>
  <si>
    <t>Cantidad</t>
  </si>
  <si>
    <t>Producto</t>
  </si>
  <si>
    <t>Jaime Lizarbe C.:  Tlf-394-5753 Cel.986-876-631</t>
  </si>
  <si>
    <t>J.L.</t>
  </si>
  <si>
    <t>cesarq_2000@yahoo.</t>
  </si>
  <si>
    <t>es</t>
  </si>
  <si>
    <t>cesarq_2000@yahoo.es</t>
  </si>
  <si>
    <t>c.e.</t>
  </si>
  <si>
    <t>Cruzado</t>
  </si>
  <si>
    <t xml:space="preserve">           de los Srs. Llerena y Lazo (Cert Sal Ment No presentes)</t>
  </si>
  <si>
    <t>Vigilante</t>
  </si>
  <si>
    <t xml:space="preserve">       Choferes</t>
  </si>
  <si>
    <t>Diaz</t>
  </si>
  <si>
    <t>Loza</t>
  </si>
  <si>
    <t>58374-5427</t>
  </si>
  <si>
    <t>No es necesario</t>
  </si>
  <si>
    <t>EI-1629</t>
  </si>
  <si>
    <t>3.36**</t>
  </si>
  <si>
    <t>7.82 + 0.145</t>
  </si>
  <si>
    <t>2.88*+.51=3.39</t>
  </si>
  <si>
    <t>centrodedatos@upc.edu.pe</t>
  </si>
  <si>
    <t>150912488 / 52336-A</t>
  </si>
  <si>
    <t>150911604 / 541734-A</t>
  </si>
  <si>
    <t>kbellido@topytop.com.pe</t>
  </si>
  <si>
    <t xml:space="preserve"> 2/4 gln</t>
  </si>
  <si>
    <t>0087998-8638065</t>
  </si>
  <si>
    <t>Plataformas</t>
  </si>
  <si>
    <t>01 Compresora presion 150lbs  01Enllantadora 01 vulcanizadora 04 Gatas hidr p´ 20tn c/u</t>
  </si>
  <si>
    <t>J. Cardenas</t>
  </si>
  <si>
    <t>Tarjeta de Propiead (copia)</t>
  </si>
  <si>
    <t>CUENTA CONVENIO DE RECAUDACION UNI</t>
  </si>
  <si>
    <t> 150911609</t>
  </si>
  <si>
    <t>DETEC</t>
  </si>
  <si>
    <t>Karen</t>
  </si>
  <si>
    <t> 9820   </t>
  </si>
  <si>
    <t> 10140   </t>
  </si>
  <si>
    <t> 8850   </t>
  </si>
  <si>
    <t>YG-6129</t>
  </si>
  <si>
    <t>YG-6036</t>
  </si>
  <si>
    <t>YG-6161</t>
  </si>
  <si>
    <t>YG-6130</t>
  </si>
  <si>
    <t>971569062</t>
  </si>
  <si>
    <t>942419236</t>
  </si>
  <si>
    <t>Eder Moncada</t>
  </si>
  <si>
    <t>971570428</t>
  </si>
  <si>
    <t>Fredy Ortiz</t>
  </si>
  <si>
    <t>942418194</t>
  </si>
  <si>
    <t>971569623</t>
  </si>
  <si>
    <t>Lin Gómez</t>
  </si>
  <si>
    <t>942180176</t>
  </si>
  <si>
    <t>Solo GAS</t>
  </si>
  <si>
    <t>265-9396</t>
  </si>
  <si>
    <t>3.30**</t>
  </si>
  <si>
    <t>ALMACENERO</t>
  </si>
  <si>
    <t>Movilidad y copias (Oq.-Pach-Lur-Magd-Pach)</t>
  </si>
  <si>
    <t xml:space="preserve">Operaciones </t>
  </si>
  <si>
    <r>
      <t xml:space="preserve"> 2  INDURA S.A. PERU  RUC: 20473938929  C S/. 193-1161061-0-88 </t>
    </r>
    <r>
      <rPr>
        <b/>
        <sz val="10"/>
        <rFont val="Arial"/>
        <family val="2"/>
      </rPr>
      <t>S/. 223.02</t>
    </r>
    <r>
      <rPr>
        <sz val="10"/>
        <rFont val="Arial"/>
        <family val="2"/>
      </rPr>
      <t xml:space="preserve"> 012-0003048 012-0003048 Sí </t>
    </r>
  </si>
  <si>
    <t>116370-3077</t>
  </si>
  <si>
    <r>
      <t xml:space="preserve">214  </t>
    </r>
    <r>
      <rPr>
        <sz val="9"/>
        <rFont val="Arial"/>
        <family val="2"/>
      </rPr>
      <t>ZG-6830</t>
    </r>
  </si>
  <si>
    <t>7882217</t>
  </si>
  <si>
    <t>831*5756</t>
  </si>
  <si>
    <t>Normal</t>
  </si>
  <si>
    <t>ZG-9568</t>
  </si>
  <si>
    <t>2008-433969</t>
  </si>
  <si>
    <t>OSINERGMIN</t>
  </si>
  <si>
    <t xml:space="preserve"> Sistema de Control de Ordenes de Pedido</t>
  </si>
  <si>
    <t> 8220    </t>
  </si>
  <si>
    <t> 39</t>
  </si>
  <si>
    <t> YG1384</t>
  </si>
  <si>
    <t>Materiales</t>
  </si>
  <si>
    <t xml:space="preserve"> 1/2 gln</t>
  </si>
  <si>
    <t xml:space="preserve"> 02 Certificados de Antecedentes Penales</t>
  </si>
  <si>
    <t xml:space="preserve"> 02 Certificados de Antecedentes Judiciales</t>
  </si>
  <si>
    <t>Semanal</t>
  </si>
  <si>
    <t>Quincenal</t>
  </si>
  <si>
    <t> 90</t>
  </si>
  <si>
    <t>Total 1D67</t>
  </si>
  <si>
    <t>S/Modelo</t>
  </si>
  <si>
    <t>Chamorro</t>
  </si>
  <si>
    <t>Movistar 31-08-15 11:28</t>
  </si>
  <si>
    <t> 9710   </t>
  </si>
  <si>
    <t> 9700   </t>
  </si>
  <si>
    <t> 10040   </t>
  </si>
  <si>
    <t> 9890   </t>
  </si>
  <si>
    <t> 10350   </t>
  </si>
  <si>
    <t> 9840   </t>
  </si>
  <si>
    <t xml:space="preserve">Av. Oscar R. Benavides (ex Av. Colonial) Nº 5177 Parque Industrial- Callao </t>
  </si>
  <si>
    <t>Nicolas Briceño H.</t>
  </si>
  <si>
    <t>Pacifico Vida</t>
  </si>
  <si>
    <t>W. Vallejos</t>
  </si>
  <si>
    <t>OP22</t>
  </si>
  <si>
    <t>151_F9H-831</t>
  </si>
  <si>
    <t>233_D7Z-975</t>
  </si>
  <si>
    <t>T6N-864</t>
  </si>
  <si>
    <t>0156832-9263618</t>
  </si>
  <si>
    <t>Impresora</t>
  </si>
  <si>
    <t>Corsino</t>
  </si>
  <si>
    <t>Gustavo</t>
  </si>
  <si>
    <t>D120-A-923</t>
  </si>
  <si>
    <t>K-100</t>
  </si>
  <si>
    <t>P.d.H.B.</t>
  </si>
  <si>
    <t>Jenny</t>
  </si>
  <si>
    <t>Oshiro</t>
  </si>
  <si>
    <t>11314557   a 1 Pasajero</t>
  </si>
  <si>
    <t>Tacha en ORLC 07/08/08</t>
  </si>
  <si>
    <t>150913206 / 53035-A</t>
  </si>
  <si>
    <t xml:space="preserve">Haberes  000663  C  S/.  193-1760052-0-02 - TRANSPORTE COMERCIAL Y SEGURO TAKUSHI S.  -  -  -  varios  30082011  S/.  6,193.13  01/09/2011  </t>
  </si>
  <si>
    <t>Total 0D50</t>
  </si>
  <si>
    <t>de Dios</t>
  </si>
  <si>
    <t>Lija para agua # 1000  ASA</t>
  </si>
  <si>
    <t>PECSA_Pampilla</t>
  </si>
  <si>
    <t>Sr. Gino</t>
  </si>
  <si>
    <t>577-7235</t>
  </si>
  <si>
    <t>2.84*(camarote)</t>
  </si>
  <si>
    <t>150911612 / 51741-A</t>
  </si>
  <si>
    <t>Tamara Hernandez [thernandez@softwarebusiness.com.pe]</t>
  </si>
  <si>
    <t>0080299-1670880</t>
  </si>
  <si>
    <t>0243814-0345346</t>
  </si>
  <si>
    <r>
      <t xml:space="preserve"> 1 FREDY ORTIZ PACHECO DNI: 25440374  A S/. 193-15953671-0-17 </t>
    </r>
    <r>
      <rPr>
        <b/>
        <sz val="10"/>
        <rFont val="Arial"/>
        <family val="2"/>
      </rPr>
      <t xml:space="preserve">S/. 1,500.00 </t>
    </r>
    <r>
      <rPr>
        <sz val="10"/>
        <rFont val="Arial"/>
        <family val="2"/>
      </rPr>
      <t xml:space="preserve">PRESTAMO PRESTAMO Sí  </t>
    </r>
  </si>
  <si>
    <t>NQ-8150</t>
  </si>
  <si>
    <t>HONDA SCOOTER</t>
  </si>
  <si>
    <t>Abrillantador  3M</t>
  </si>
  <si>
    <t>CUENTA DE OSWALDO VELASQUEZ</t>
  </si>
  <si>
    <t>DIRECTO	Directo  :       717-7307_x000D_
CENTRAL 	715-3222</t>
  </si>
  <si>
    <t>3751729</t>
  </si>
  <si>
    <t>996511594</t>
  </si>
  <si>
    <t>Tinta B/N</t>
  </si>
  <si>
    <t>Matricial  132col</t>
  </si>
  <si>
    <t>Tel. 719-8286 / 719-8287 / 452-5008</t>
  </si>
  <si>
    <t>150912482 / 52330-A</t>
  </si>
  <si>
    <t>150911606 / 51736-A</t>
  </si>
  <si>
    <t>150913197 /53026-A</t>
  </si>
  <si>
    <t>150911620 / 51748-A</t>
  </si>
  <si>
    <t>58448-5461</t>
  </si>
  <si>
    <t>Chofer: David Tejada F.</t>
  </si>
  <si>
    <t>NOGUNI</t>
  </si>
  <si>
    <t>JJPEREAN@repsolypf.COM</t>
  </si>
  <si>
    <t xml:space="preserve"> 02 Certificados de Antecedentes policiales(lurin)</t>
  </si>
  <si>
    <t xml:space="preserve"> 02 Cartas poder legalizadas (lurin)</t>
  </si>
  <si>
    <t>10716831  a 1 Pasajero</t>
  </si>
  <si>
    <t> 23</t>
  </si>
  <si>
    <t> ZG9569</t>
  </si>
  <si>
    <t> 150203076</t>
  </si>
  <si>
    <t> SR472983898</t>
  </si>
  <si>
    <t> 24</t>
  </si>
  <si>
    <t> ZI1240</t>
  </si>
  <si>
    <t>????</t>
  </si>
  <si>
    <t>72 / W-924 / 123936</t>
  </si>
  <si>
    <t>Tito</t>
  </si>
  <si>
    <t>Masilla Plastica (color amarillo) Marca SIKA ó ROBELO</t>
  </si>
  <si>
    <t>3 und</t>
  </si>
  <si>
    <t>Departamento</t>
  </si>
  <si>
    <t>Cargo</t>
  </si>
  <si>
    <t>Oficina</t>
  </si>
  <si>
    <t>Gerente General</t>
  </si>
  <si>
    <t>Jefe de Mantto.</t>
  </si>
  <si>
    <t> 150402529</t>
  </si>
  <si>
    <t> 104464</t>
  </si>
  <si>
    <t> 1966</t>
  </si>
  <si>
    <t>Vacaciones</t>
  </si>
  <si>
    <t>Abril</t>
  </si>
  <si>
    <t>ddonayre@goalsnet.net</t>
  </si>
  <si>
    <t>Daniel Donayre [ddonayre@goalsnet.net]</t>
  </si>
  <si>
    <t>Scotianbank</t>
  </si>
  <si>
    <t>Meses</t>
  </si>
  <si>
    <t>Usuario3</t>
  </si>
  <si>
    <t>Usuario4</t>
  </si>
  <si>
    <t xml:space="preserve">         mandil de fibra de vidrio roto (de parachoque)</t>
  </si>
  <si>
    <t>Martha Malaga</t>
  </si>
  <si>
    <t>M.M.</t>
  </si>
  <si>
    <t>Los hilos corren por mi cuenta.</t>
  </si>
  <si>
    <t xml:space="preserve"> Sacar copia de denuncia por perdida de AMBAS PLACAS</t>
  </si>
  <si>
    <t>Barniz KIT [linea 55]</t>
  </si>
  <si>
    <t xml:space="preserve"> 3/16 gln</t>
  </si>
  <si>
    <r>
      <t xml:space="preserve">1 </t>
    </r>
    <r>
      <rPr>
        <b/>
        <sz val="10"/>
        <rFont val="Arial"/>
        <family val="2"/>
      </rPr>
      <t xml:space="preserve">ERICK JONATHAN MORENO BAZALAR </t>
    </r>
    <r>
      <rPr>
        <sz val="10"/>
        <rFont val="Arial"/>
        <family val="2"/>
      </rPr>
      <t xml:space="preserve">DNI: 70515559  A S/. 191-19827721-0-99 </t>
    </r>
    <r>
      <rPr>
        <b/>
        <sz val="10"/>
        <rFont val="Arial"/>
        <family val="2"/>
      </rPr>
      <t>S/. 587.25</t>
    </r>
    <r>
      <rPr>
        <sz val="10"/>
        <rFont val="Arial"/>
        <family val="2"/>
      </rPr>
      <t xml:space="preserve"> VACACIONES VACACIONES Sí  </t>
    </r>
  </si>
  <si>
    <t>Patricia - SPERU Farias (patricia.farias@latam.shell.com)</t>
  </si>
  <si>
    <t>Jorge E Zavala Carbajal [jezc2000@yahoo.es]</t>
  </si>
  <si>
    <t>J.Z.C.Y.Y.</t>
  </si>
  <si>
    <t>SRV-40-3-124</t>
  </si>
  <si>
    <t>OP16</t>
  </si>
  <si>
    <t>OP17</t>
  </si>
  <si>
    <t>JLMB</t>
  </si>
  <si>
    <t>40cm y 70cm</t>
  </si>
  <si>
    <t>Plaza</t>
  </si>
  <si>
    <t>106  F5S-709</t>
  </si>
  <si>
    <t>424 9644</t>
  </si>
  <si>
    <t>45152143</t>
  </si>
  <si>
    <t>Se consideraba : Chofer S/. 225 y Empleada S/. 150 x Semana ( 4 semanas = 1mes )</t>
  </si>
  <si>
    <t> Persona Juridica</t>
  </si>
  <si>
    <t>Modalidad de Empresa</t>
  </si>
  <si>
    <t> En general</t>
  </si>
  <si>
    <t>Julio Vega Anchante (jeva56@hotmail.com)</t>
  </si>
  <si>
    <t>E/S REPUBLICA</t>
  </si>
  <si>
    <t> 9700    </t>
  </si>
  <si>
    <t>Walter Gaitan Calixto</t>
  </si>
  <si>
    <t>Pedro Garcia Saldaña</t>
  </si>
  <si>
    <t>Elio Ramos Huaroc</t>
  </si>
  <si>
    <t>Juan Ayoso Fuentes</t>
  </si>
  <si>
    <t>Jose Corimayhua Corimayhua</t>
  </si>
  <si>
    <t>002212-2325</t>
  </si>
  <si>
    <t xml:space="preserve">Av. Paseo de la República 3890 </t>
  </si>
  <si>
    <t>4.-</t>
  </si>
  <si>
    <t>039449-3989015</t>
  </si>
  <si>
    <t>Juan Manrique Vega (leo_sc69@hotmail.com)</t>
  </si>
  <si>
    <t>J.M.V.</t>
  </si>
  <si>
    <t>Abogado de Seg. el Pacifico</t>
  </si>
  <si>
    <t>998027659</t>
  </si>
  <si>
    <t>Pintado de Guardafangos (delanteros Izq/der)</t>
  </si>
  <si>
    <t>y el kg de tela en colores es de 25 soles igual le incluye el rib licrado para el cuello.</t>
  </si>
  <si>
    <t>0087918-2589674</t>
  </si>
  <si>
    <t>0087960-7315096</t>
  </si>
  <si>
    <t>**: medido de piso al extremo (vertical) del tubo de escape</t>
  </si>
  <si>
    <t>C.de la Cruz,W.Casapia</t>
  </si>
  <si>
    <t>J.Lizarbe</t>
  </si>
  <si>
    <t>Observ x  Motor</t>
  </si>
  <si>
    <t>Marzo</t>
  </si>
  <si>
    <t>07526426</t>
  </si>
  <si>
    <t>Aux. Limpieza</t>
  </si>
  <si>
    <t>0D52</t>
  </si>
  <si>
    <t>etiqueta en la manga(opcional)</t>
  </si>
  <si>
    <t>0074451-8126990</t>
  </si>
  <si>
    <t>6404104-3309138</t>
  </si>
  <si>
    <t>002211-2324</t>
  </si>
  <si>
    <t>42921341</t>
  </si>
  <si>
    <t>VARGAS  HUAMAN WALTER</t>
  </si>
  <si>
    <t>10319124</t>
  </si>
  <si>
    <t>45297289</t>
  </si>
  <si>
    <t>VILLANUEVA  ROBLES MIGUEL ANGEL</t>
  </si>
  <si>
    <t>Al::</t>
  </si>
  <si>
    <t>Av. Oquendo 8682 - Callao</t>
  </si>
  <si>
    <t xml:space="preserve">NOTA: </t>
  </si>
  <si>
    <t>HINOSTROZA VALLADARES JORGE</t>
  </si>
  <si>
    <t>06049341</t>
  </si>
  <si>
    <t>JUNCO VILLEGAS ARMANDO MANUEL</t>
  </si>
  <si>
    <t>Jornalero</t>
  </si>
  <si>
    <t>Empleado</t>
  </si>
  <si>
    <t>CAMARA ORIZANO ANTENOR LEO</t>
  </si>
  <si>
    <t>07753377</t>
  </si>
  <si>
    <t> 150913210</t>
  </si>
  <si>
    <t> 150911606</t>
  </si>
  <si>
    <t> 8160    </t>
  </si>
  <si>
    <t> ZQ1428</t>
  </si>
  <si>
    <t>DETEC - Violeta Cadenillas Villanueva (vcadenillasv@detec.com.pe)</t>
  </si>
  <si>
    <t>Obs.</t>
  </si>
  <si>
    <t>ZG-3489</t>
  </si>
  <si>
    <t>Distribucion de Pagos en San Isidro</t>
  </si>
  <si>
    <t>Ramiro Baquerizo V.</t>
  </si>
  <si>
    <t> 28700   </t>
  </si>
  <si>
    <t>193-15953444-0-88</t>
  </si>
  <si>
    <t> Avenida ARGENTINA 1300  Dpto. LIMA Prov. LIMA Dist. LIMA</t>
  </si>
  <si>
    <t>Importe Depositado en Interbank S/.</t>
  </si>
  <si>
    <t>Sera abonado el 27/01/2009</t>
  </si>
  <si>
    <t>pec_pampilla@pecsa.com.pe</t>
  </si>
  <si>
    <t>JOSE</t>
  </si>
  <si>
    <t>PEREA NOGUNI</t>
  </si>
  <si>
    <t>Cabina Simple</t>
  </si>
  <si>
    <t>User:silviatapia1960@mail.com Key:020860st</t>
  </si>
  <si>
    <t>centrodedatos</t>
  </si>
  <si>
    <r>
      <t xml:space="preserve"> 2 HERMES AUGUSTO IZAGUIRRE MANRIQUE DNI: 08505391  A S/. 191-19771726-0-39 </t>
    </r>
    <r>
      <rPr>
        <b/>
        <sz val="10"/>
        <color indexed="54"/>
        <rFont val="Arial"/>
        <family val="2"/>
      </rPr>
      <t>S/. 719.40</t>
    </r>
    <r>
      <rPr>
        <sz val="10"/>
        <color indexed="54"/>
        <rFont val="Arial"/>
        <family val="2"/>
      </rPr>
      <t xml:space="preserve"> 072011 072011 Sí  </t>
    </r>
  </si>
  <si>
    <t>U.</t>
  </si>
  <si>
    <t>150911608 / 51738-A</t>
  </si>
  <si>
    <t>150912491 / 52345-A</t>
  </si>
  <si>
    <t>150912478 / 52344-A</t>
  </si>
  <si>
    <t>Maquinas/Herr.</t>
  </si>
  <si>
    <t>Duran</t>
  </si>
  <si>
    <t> YG1705</t>
  </si>
  <si>
    <t>A estas unidades se les hara modificacion de caracteristicas de acuerdo a ORLC , con la respectiva modificacion en la tarjeta de propiedad de 03 a 02 ejes, tramites realizados por el Ing. Oswaldo Velasquez (inicio: 21/05/07).</t>
  </si>
  <si>
    <t>Inereses</t>
  </si>
  <si>
    <r>
      <t xml:space="preserve">     [ </t>
    </r>
    <r>
      <rPr>
        <b/>
        <sz val="8"/>
        <color indexed="49"/>
        <rFont val="Verdana"/>
        <family val="2"/>
      </rPr>
      <t>Pag. Anterior</t>
    </r>
    <r>
      <rPr>
        <b/>
        <sz val="8"/>
        <color indexed="8"/>
        <rFont val="Verdana"/>
        <family val="2"/>
      </rPr>
      <t xml:space="preserve"> ]    [ </t>
    </r>
    <r>
      <rPr>
        <b/>
        <sz val="8"/>
        <color indexed="49"/>
        <rFont val="Verdana"/>
        <family val="2"/>
      </rPr>
      <t>New Busqueda</t>
    </r>
    <r>
      <rPr>
        <b/>
        <sz val="8"/>
        <color indexed="8"/>
        <rFont val="Verdana"/>
        <family val="2"/>
      </rPr>
      <t xml:space="preserve"> ]</t>
    </r>
  </si>
  <si>
    <t>Pago de Haberes</t>
  </si>
  <si>
    <t>Se da x Finalizado, NO hay Servicio por Falta de condiciones tecnicas</t>
  </si>
  <si>
    <t xml:space="preserve">Superintendencia Nacional de los Registros Públicos </t>
  </si>
  <si>
    <t>YG-1334</t>
  </si>
  <si>
    <t>YG-1395</t>
  </si>
  <si>
    <t>YG-1378</t>
  </si>
  <si>
    <t>116368-3074</t>
  </si>
  <si>
    <t>116367-3075</t>
  </si>
  <si>
    <t>1D63</t>
  </si>
  <si>
    <t>116369-3076</t>
  </si>
  <si>
    <t>Pentium I</t>
  </si>
  <si>
    <t>ITEM</t>
  </si>
  <si>
    <t>SRV-30-3-271</t>
  </si>
  <si>
    <t>R.V.P.P.</t>
  </si>
  <si>
    <t>de Haberes BCP</t>
  </si>
  <si>
    <t> 150202997</t>
  </si>
  <si>
    <t> 150202988</t>
  </si>
  <si>
    <t>738059-9137780</t>
  </si>
  <si>
    <t> 113917</t>
  </si>
  <si>
    <t>163 F7O-759</t>
  </si>
  <si>
    <t>Walter Aguilar</t>
  </si>
  <si>
    <t>mbriceno@bcp.com.pe</t>
  </si>
  <si>
    <t>AFY-542</t>
  </si>
  <si>
    <t>719268-9483041</t>
  </si>
  <si>
    <t>TPC – RANSA ARGENTINA</t>
  </si>
  <si>
    <t>115093-8112747</t>
  </si>
  <si>
    <t>115086-2457524</t>
  </si>
  <si>
    <t>115078-4518289</t>
  </si>
  <si>
    <t>115073-4441206</t>
  </si>
  <si>
    <t>115083-8137350</t>
  </si>
  <si>
    <t>115090-6163790</t>
  </si>
  <si>
    <t> 150913205</t>
  </si>
  <si>
    <t> 8700   </t>
  </si>
  <si>
    <t> 8380    </t>
  </si>
  <si>
    <t> 150912479</t>
  </si>
  <si>
    <t>61651-5838</t>
  </si>
  <si>
    <t>61655-5839</t>
  </si>
  <si>
    <t>58483-5480</t>
  </si>
  <si>
    <t>114  F7O-758</t>
  </si>
  <si>
    <t>12 meses</t>
  </si>
  <si>
    <t>YG-1440</t>
  </si>
  <si>
    <t>YG-1388</t>
  </si>
  <si>
    <t>YG-1336</t>
  </si>
  <si>
    <r>
      <t xml:space="preserve">201  </t>
    </r>
    <r>
      <rPr>
        <sz val="9"/>
        <color indexed="12"/>
        <rFont val="Arial"/>
        <family val="2"/>
      </rPr>
      <t>B1G-984</t>
    </r>
  </si>
  <si>
    <t>M. Ortiz</t>
  </si>
  <si>
    <t>MV01</t>
  </si>
  <si>
    <t> Mercancias en general</t>
  </si>
  <si>
    <t>2.85*+0.52=3.37</t>
  </si>
  <si>
    <t>Multa por vencimiento de licencia de arma</t>
  </si>
  <si>
    <t>Renovacion de licencia de arma</t>
  </si>
  <si>
    <t>S/.</t>
  </si>
  <si>
    <t>Devolvieron documentos por NO coincidencia de datos de ejes entre tarjeta de propiedad y revision tecnica (24/06/2009 - MTC jsm)</t>
  </si>
  <si>
    <t>008987</t>
  </si>
  <si>
    <t>015025</t>
  </si>
  <si>
    <t>014680</t>
  </si>
  <si>
    <t> 150203007</t>
  </si>
  <si>
    <t>Cristofer David Pillaca Durand</t>
  </si>
  <si>
    <t>81202682</t>
  </si>
  <si>
    <t>Bebe - 1310131PLDAC004</t>
  </si>
  <si>
    <t>FELIX HUAROC ZACARIAS</t>
  </si>
  <si>
    <t>09984403</t>
  </si>
  <si>
    <t>FLORES BASTIDAS LIZARDO JESUS</t>
  </si>
  <si>
    <t>10155932</t>
  </si>
  <si>
    <t>TPC - ARGENTINA</t>
  </si>
  <si>
    <t>0085095-7274890</t>
  </si>
  <si>
    <t>0254800-5159718</t>
  </si>
  <si>
    <t>0085101-0500038</t>
  </si>
  <si>
    <t>0085102-8044620</t>
  </si>
  <si>
    <t>0058420-2140444</t>
  </si>
  <si>
    <t>TPC - SAN AGUSTÍN</t>
  </si>
  <si>
    <t>5019491-3799975</t>
  </si>
  <si>
    <t>0254801-3393747</t>
  </si>
  <si>
    <t>5019491-9851902</t>
  </si>
  <si>
    <t>0056050-8556857</t>
  </si>
  <si>
    <t># 04</t>
  </si>
  <si>
    <t> ZG7093</t>
  </si>
  <si>
    <t> 150203061</t>
  </si>
  <si>
    <t>2008-433694</t>
  </si>
  <si>
    <t>8.00</t>
  </si>
  <si>
    <t>3.28**</t>
  </si>
  <si>
    <t>waguilar@servosa.com.pe</t>
  </si>
  <si>
    <t>SMTP</t>
  </si>
  <si>
    <t> 94</t>
  </si>
  <si>
    <t xml:space="preserve"> 330-43447 / 92186690 426*9109- arturo</t>
  </si>
  <si>
    <t>Loayza, Sandra - SLPERU</t>
  </si>
  <si>
    <t>S.S.S.L.</t>
  </si>
  <si>
    <t>PECSA -</t>
  </si>
  <si>
    <t>Juan Carlos Tume</t>
  </si>
  <si>
    <t>Miguel Tejada Ll.</t>
  </si>
  <si>
    <t>Total :</t>
  </si>
  <si>
    <t xml:space="preserve"> Duplicado de Placas al 10/02/09</t>
  </si>
  <si>
    <t> 150203072</t>
  </si>
  <si>
    <t> SRV-30-3-026</t>
  </si>
  <si>
    <t> 20</t>
  </si>
  <si>
    <t>R-154</t>
  </si>
  <si>
    <t>Pendiente Cmb-Motor</t>
  </si>
  <si>
    <t>Pintado</t>
  </si>
  <si>
    <t>Geovanny</t>
  </si>
  <si>
    <t>Niler</t>
  </si>
  <si>
    <t>Seguridad</t>
  </si>
  <si>
    <t>6667159-7568860</t>
  </si>
  <si>
    <t>002526-2852</t>
  </si>
  <si>
    <t>0236406-2921187</t>
  </si>
  <si>
    <t>0186352-4287515</t>
  </si>
  <si>
    <t>SERVOSA SHELL - Marco</t>
  </si>
  <si>
    <t>150912481 / 52329-A</t>
  </si>
  <si>
    <t>150912483 / 52331-A</t>
  </si>
  <si>
    <t>59037-5517</t>
  </si>
  <si>
    <t>59024-5506</t>
  </si>
  <si>
    <t>27284626</t>
  </si>
  <si>
    <t>P.S.F.</t>
  </si>
  <si>
    <t>William</t>
  </si>
  <si>
    <t>Julian Camones</t>
  </si>
  <si>
    <t>Meneses</t>
  </si>
  <si>
    <t>MECAR</t>
  </si>
  <si>
    <t>MMRR99</t>
  </si>
  <si>
    <t>191-19539585-0-52</t>
  </si>
  <si>
    <t>Placa de</t>
  </si>
  <si>
    <t>Clase</t>
  </si>
  <si>
    <t>Año de</t>
  </si>
  <si>
    <t>Modelo</t>
  </si>
  <si>
    <t>Carroceria</t>
  </si>
  <si>
    <t>Karen Evelyn Bellido Palomino [topy top]</t>
  </si>
  <si>
    <t>K.E.B.P.</t>
  </si>
  <si>
    <t>Cochellabn</t>
  </si>
  <si>
    <t>N</t>
  </si>
  <si>
    <t>Q</t>
  </si>
  <si>
    <r>
      <t xml:space="preserve">Vehiculos Pesados </t>
    </r>
    <r>
      <rPr>
        <sz val="10"/>
        <color indexed="54"/>
        <rFont val="Arial"/>
        <family val="2"/>
      </rPr>
      <t>(Remolcadores)</t>
    </r>
  </si>
  <si>
    <t>2 92</t>
  </si>
  <si>
    <t>7.99</t>
  </si>
  <si>
    <t>3.40**</t>
  </si>
  <si>
    <t>CESAR QUISPE RAMOS   08238398</t>
  </si>
  <si>
    <t xml:space="preserve"> </t>
  </si>
  <si>
    <t xml:space="preserve"> VISA CASHBACK CLASICA</t>
  </si>
  <si>
    <t>SRV-30-3-008</t>
  </si>
  <si>
    <t>168 TC</t>
  </si>
  <si>
    <t>0244687-6826300</t>
  </si>
  <si>
    <t>1D46</t>
  </si>
  <si>
    <t>TPC - QUIMPAC</t>
  </si>
  <si>
    <t>Lopez</t>
  </si>
  <si>
    <t>58478-5477</t>
  </si>
  <si>
    <t>227  B1Y-975</t>
  </si>
  <si>
    <t>231  B1Y-979</t>
  </si>
  <si>
    <t>232  B1Y-980</t>
  </si>
  <si>
    <t>Jornal</t>
  </si>
  <si>
    <t>Ene-Feb</t>
  </si>
  <si>
    <t>Jun</t>
  </si>
  <si>
    <t>Jul-Ago</t>
  </si>
  <si>
    <t>agranda@relima.com.pe</t>
  </si>
  <si>
    <t>Victor Melgarejo H.</t>
  </si>
  <si>
    <t>4390 4603 5015 5244</t>
  </si>
  <si>
    <t xml:space="preserve"> 1 UBELSER MARTINEZ TERRONES DNI: 10208432  A S/. 192-19408915-0-63 S/. 200.00 PRESTAMO PRESTAMO Sí  </t>
  </si>
  <si>
    <t>http://www.cmacica.com.pe</t>
  </si>
  <si>
    <t>Juvenal</t>
  </si>
  <si>
    <t>Luna</t>
  </si>
  <si>
    <t>Sofware Bussines</t>
  </si>
  <si>
    <t> 49</t>
  </si>
  <si>
    <t>193-15953455-0-99</t>
  </si>
  <si>
    <t>09199059</t>
  </si>
  <si>
    <t>TITO NOA ISIDRO</t>
  </si>
  <si>
    <t>AUXILIAR DE OFICINA</t>
  </si>
  <si>
    <t>22282184</t>
  </si>
  <si>
    <t>SAGARDIA MARQUINA JUAN ANTONIO</t>
  </si>
  <si>
    <t>Cencosud 5502180001556325</t>
  </si>
  <si>
    <r>
      <rPr>
        <sz val="6"/>
        <rFont val="Arial"/>
        <family val="2"/>
      </rPr>
      <t>X</t>
    </r>
    <r>
      <rPr>
        <sz val="8"/>
        <rFont val="Arial"/>
        <family val="2"/>
      </rPr>
      <t>5502180001556325</t>
    </r>
  </si>
  <si>
    <t>Mv2 T6N-864</t>
  </si>
  <si>
    <t xml:space="preserve">  25/10/2013</t>
  </si>
  <si>
    <t xml:space="preserve">  04/07/2013</t>
  </si>
  <si>
    <t>359 ABE-996</t>
  </si>
  <si>
    <t>360 ABE-999</t>
  </si>
  <si>
    <t>Porta Contdr</t>
  </si>
  <si>
    <t>SEDA000004131617</t>
  </si>
  <si>
    <t>172  A1B-846</t>
  </si>
  <si>
    <t>237  F7 I -990</t>
  </si>
  <si>
    <t>173  T2Y-821</t>
  </si>
  <si>
    <t>174  T4P-891</t>
  </si>
  <si>
    <t>FREIGHTLINER</t>
  </si>
  <si>
    <t>361 TCE-984</t>
  </si>
  <si>
    <t>362 TCE-990</t>
  </si>
  <si>
    <t>A5O-181</t>
  </si>
  <si>
    <t>3 SUZUKI Grand Nomade</t>
  </si>
  <si>
    <t>AWU-049</t>
  </si>
  <si>
    <t>Kilometros</t>
  </si>
  <si>
    <t>Horas</t>
  </si>
  <si>
    <t>Total Klms</t>
  </si>
  <si>
    <t>Total Horas</t>
  </si>
  <si>
    <t>Servc_1200</t>
  </si>
  <si>
    <t>Lectura</t>
  </si>
  <si>
    <t>ANH-873</t>
  </si>
  <si>
    <t>A1B-846</t>
  </si>
  <si>
    <t>T2Y-821</t>
  </si>
  <si>
    <t>T4P-891</t>
  </si>
  <si>
    <r>
      <rPr>
        <b/>
        <sz val="14"/>
        <color rgb="FFFF0000"/>
        <rFont val="Arial"/>
        <family val="2"/>
      </rPr>
      <t>171</t>
    </r>
    <r>
      <rPr>
        <sz val="12"/>
        <rFont val="Arial"/>
        <family val="2"/>
      </rPr>
      <t xml:space="preserve">  </t>
    </r>
    <r>
      <rPr>
        <sz val="10"/>
        <rFont val="Arial"/>
        <family val="2"/>
      </rPr>
      <t>ANH-873</t>
    </r>
  </si>
  <si>
    <r>
      <rPr>
        <b/>
        <sz val="14"/>
        <color rgb="FFFF0000"/>
        <rFont val="Arial"/>
        <family val="2"/>
      </rPr>
      <t>172</t>
    </r>
    <r>
      <rPr>
        <sz val="12"/>
        <rFont val="Arial"/>
        <family val="2"/>
      </rPr>
      <t xml:space="preserve">  </t>
    </r>
    <r>
      <rPr>
        <sz val="10"/>
        <rFont val="Arial"/>
        <family val="2"/>
      </rPr>
      <t>A1B-846</t>
    </r>
  </si>
  <si>
    <r>
      <rPr>
        <b/>
        <sz val="14"/>
        <color rgb="FFFF0000"/>
        <rFont val="Arial"/>
        <family val="2"/>
      </rPr>
      <t>173</t>
    </r>
    <r>
      <rPr>
        <sz val="12"/>
        <rFont val="Arial"/>
        <family val="2"/>
      </rPr>
      <t xml:space="preserve">  </t>
    </r>
    <r>
      <rPr>
        <sz val="10"/>
        <rFont val="Arial"/>
        <family val="2"/>
      </rPr>
      <t>T2Y-821</t>
    </r>
  </si>
  <si>
    <r>
      <rPr>
        <b/>
        <sz val="14"/>
        <color rgb="FFFF0000"/>
        <rFont val="Arial"/>
        <family val="2"/>
      </rPr>
      <t>174</t>
    </r>
    <r>
      <rPr>
        <b/>
        <sz val="12"/>
        <color rgb="FFFF0000"/>
        <rFont val="Arial"/>
        <family val="2"/>
      </rPr>
      <t xml:space="preserve"> </t>
    </r>
    <r>
      <rPr>
        <sz val="12"/>
        <rFont val="Arial"/>
        <family val="2"/>
      </rPr>
      <t xml:space="preserve"> </t>
    </r>
    <r>
      <rPr>
        <sz val="10"/>
        <rFont val="Arial"/>
        <family val="2"/>
      </rPr>
      <t>T4P-891</t>
    </r>
  </si>
  <si>
    <t>Servc_1600</t>
  </si>
  <si>
    <t>M01  F5D-932</t>
  </si>
  <si>
    <t>NISSAN TD27</t>
  </si>
  <si>
    <t>Al 26/06/2017</t>
  </si>
  <si>
    <t>Ret_Qta - 2016</t>
  </si>
  <si>
    <t>Dep_BCP 31/03/17</t>
  </si>
  <si>
    <t>Utilidades 2014</t>
  </si>
  <si>
    <t>Saldo Qta-2016</t>
  </si>
  <si>
    <t>Utilidades 2015</t>
  </si>
  <si>
    <t>AV. CENTRAL MZA. 48 LOTE. 59 Z.I. PARQUE PORCINO (SECTOR 02) 
PROV. CONST. DEL CALLAO - PROV. CONST. DEL CALLAO - VENTANILLA</t>
  </si>
  <si>
    <t>Servc_M3</t>
  </si>
  <si>
    <t>Srvc_Lube2</t>
  </si>
  <si>
    <r>
      <t xml:space="preserve">Notaria Galvez  </t>
    </r>
    <r>
      <rPr>
        <sz val="10"/>
        <rFont val="Arial Narrow"/>
        <family val="2"/>
      </rPr>
      <t>(</t>
    </r>
    <r>
      <rPr>
        <b/>
        <sz val="10"/>
        <rFont val="Arial Narrow"/>
        <family val="2"/>
      </rPr>
      <t xml:space="preserve"> </t>
    </r>
    <r>
      <rPr>
        <sz val="10"/>
        <rFont val="Arial Narrow"/>
        <family val="2"/>
      </rPr>
      <t>719-8286 - 104)</t>
    </r>
  </si>
  <si>
    <t>Armando Junco</t>
  </si>
  <si>
    <t>Daniel Quispe</t>
  </si>
  <si>
    <t>Juan Diaz</t>
  </si>
  <si>
    <t>Juan Condor</t>
  </si>
  <si>
    <t>Pedro Rafaelle</t>
  </si>
  <si>
    <t>2D11</t>
  </si>
  <si>
    <t>2D20</t>
  </si>
  <si>
    <t>2D21</t>
  </si>
  <si>
    <t>2D22</t>
  </si>
  <si>
    <t>Mixercon 
Sem-35</t>
  </si>
  <si>
    <t>Mixercon 
Sem-36</t>
  </si>
  <si>
    <t>San Remo Sem-34 y Sem-35</t>
  </si>
  <si>
    <t>TOTAL BONIFICACION</t>
  </si>
  <si>
    <r>
      <t>Memorandum - Sem 035/2017</t>
    </r>
    <r>
      <rPr>
        <sz val="10"/>
        <rFont val="Arial"/>
        <family val="2"/>
      </rPr>
      <t xml:space="preserve">   -   Fecha: 06/09/17                      </t>
    </r>
  </si>
  <si>
    <t>Srvc A_ISM</t>
  </si>
  <si>
    <t>12 10</t>
  </si>
  <si>
    <t>14 y 14</t>
  </si>
  <si>
    <t>C&amp;Cia al 11/09/2017</t>
  </si>
  <si>
    <r>
      <t>Memorandum - Sem 036/2017</t>
    </r>
    <r>
      <rPr>
        <sz val="10"/>
        <rFont val="Arial"/>
        <family val="2"/>
      </rPr>
      <t xml:space="preserve">   -   Fecha: 13/09/2017                      </t>
    </r>
  </si>
  <si>
    <t>Servc_2000</t>
  </si>
  <si>
    <t>2 KIA Sorento</t>
  </si>
  <si>
    <t>4 TOYOTA Cressida</t>
  </si>
  <si>
    <t>San Remo
Sem-39</t>
  </si>
  <si>
    <t>1D99</t>
  </si>
  <si>
    <t>Manuel Villanueva</t>
  </si>
  <si>
    <t>2D13</t>
  </si>
  <si>
    <t>2D17</t>
  </si>
  <si>
    <t>Omar Guerrero</t>
  </si>
  <si>
    <t>Viajes</t>
  </si>
  <si>
    <t>D8P254</t>
  </si>
  <si>
    <t>PD2298</t>
  </si>
  <si>
    <r>
      <t xml:space="preserve">   Memorandum - Sem 039/2017</t>
    </r>
    <r>
      <rPr>
        <sz val="11"/>
        <rFont val="Arial"/>
        <family val="2"/>
      </rPr>
      <t xml:space="preserve">   -   Fecha: 03/10/2017                      </t>
    </r>
  </si>
  <si>
    <t>Antenor Camara</t>
  </si>
  <si>
    <t>1D98</t>
  </si>
  <si>
    <t>QUIMPAC   Sem 39 y 40</t>
  </si>
  <si>
    <t>San REMO   Sem  40</t>
  </si>
  <si>
    <t>Total   
Viajes</t>
  </si>
  <si>
    <r>
      <t xml:space="preserve">   Memorandum - Sem 040/2017</t>
    </r>
    <r>
      <rPr>
        <sz val="11"/>
        <rFont val="Arial"/>
        <family val="2"/>
      </rPr>
      <t xml:space="preserve">   -   Fecha: 11/10/2017                      </t>
    </r>
  </si>
  <si>
    <t>363 AEA-978</t>
  </si>
  <si>
    <t>AEA-978</t>
  </si>
  <si>
    <t>O4</t>
  </si>
  <si>
    <t>Año_Fab</t>
  </si>
  <si>
    <t>Fec_Inscrp</t>
  </si>
  <si>
    <t>TCE-990</t>
  </si>
  <si>
    <t>TCE-984</t>
  </si>
  <si>
    <t>ABE-999</t>
  </si>
  <si>
    <t>ABE-996</t>
  </si>
  <si>
    <t>Ofic_Registral</t>
  </si>
  <si>
    <t>Trujillo</t>
  </si>
  <si>
    <t>W2U-979</t>
  </si>
  <si>
    <t>Huanuco</t>
  </si>
  <si>
    <t>D1X-984</t>
  </si>
  <si>
    <t xml:space="preserve">  -.-</t>
  </si>
  <si>
    <t>F7I-990</t>
  </si>
  <si>
    <t>Volquete</t>
  </si>
  <si>
    <t>Super Single</t>
  </si>
  <si>
    <t>F9W-991</t>
  </si>
  <si>
    <t>Granelero</t>
  </si>
  <si>
    <t>D4H-997</t>
  </si>
  <si>
    <t>N3</t>
  </si>
  <si>
    <t>INSCRITO</t>
  </si>
  <si>
    <t>Unidades Para Inscribir para Carga Peligrosa</t>
  </si>
  <si>
    <t xml:space="preserve"> --&gt;&gt; Año limite</t>
  </si>
  <si>
    <t xml:space="preserve"> --&gt;&gt; Vigencia en años</t>
  </si>
  <si>
    <t>INTERNATIONAL CAMIONES DEL PERU</t>
  </si>
  <si>
    <t>Divecenter S.A.C</t>
  </si>
  <si>
    <t>TRANSCOSTA</t>
  </si>
  <si>
    <t>Mantto_B</t>
  </si>
  <si>
    <t xml:space="preserve">Revision General de motor, Control de fugas de lubricantes, aire, agua y emision de gases. Engrase general,cambio de aceite de Motor y revision de niveles de lubricacion, ajuste de fajas y accesorios. Revision y correccion según corresponda al sistema electrico (Arrancador, Alternador, Luces y Baterias). Revision/correccion general de suspension, alineamiento y Revision/cambio y/o rotacion de llantas. </t>
  </si>
  <si>
    <t>Tipo de Servicio Prevento/Correctivo</t>
  </si>
  <si>
    <t>Fecha de Realizado</t>
  </si>
  <si>
    <t>Realizado en Taller</t>
  </si>
  <si>
    <t xml:space="preserve">            Descripcion de trabajo realizado</t>
  </si>
  <si>
    <r>
      <t xml:space="preserve">     Informe de Mantenimientos Realizados a las Unidades(</t>
    </r>
    <r>
      <rPr>
        <sz val="14"/>
        <rFont val="Arial"/>
        <family val="2"/>
      </rPr>
      <t>Servicio a QUIMPAC</t>
    </r>
    <r>
      <rPr>
        <sz val="20"/>
        <rFont val="Arial"/>
        <family val="2"/>
      </rPr>
      <t xml:space="preserve">)
</t>
    </r>
    <r>
      <rPr>
        <i/>
        <sz val="18"/>
        <rFont val="Arial"/>
        <family val="2"/>
      </rPr>
      <t>Periodo Enero-Setiembre 2017</t>
    </r>
  </si>
  <si>
    <t>Servc_2000
Lube 1</t>
  </si>
  <si>
    <t>Servc_1600
Lube 1</t>
  </si>
  <si>
    <t>Servc_1200
Lube 1</t>
  </si>
  <si>
    <t>Cambio de Aceite Motor, cambio de filtros para Combustible, Aceite y Aire; Engrase General; Revision de sistema eléctrico y electrónico, eje delantero y posterior, suspensión, dirección, frenos y sistema de aire</t>
  </si>
  <si>
    <t>Cambio de Aceite Motor, cambio de filtros para Combustible, Aceite y Aire; Engrase General; Revision de sistema eléctrico y electrónico, eje delantero y posterior, suspensión, dirección, frenos y sistema de aire
Correccion de fugas de Aceite, Cambio de templadorde Susp, Cambio de Magueras de admision y turbo.</t>
  </si>
  <si>
    <t>Srvc_Reparacion
Correctivo</t>
  </si>
  <si>
    <t>Cambio de Embrague, reemplazo de accesorios de palanca de cambios, correccion electrica de interruptores en tablero, cambio  reten y zapatas de ruedas posteriores.</t>
  </si>
  <si>
    <r>
      <t xml:space="preserve">Srvc_Lube2
</t>
    </r>
    <r>
      <rPr>
        <sz val="10"/>
        <rFont val="Arial Narrow"/>
        <family val="2"/>
      </rPr>
      <t>Reparacion Correctivo</t>
    </r>
  </si>
  <si>
    <t>Cambio de Aceite Motor, Transmision y Corona, Cambio de filtros para Combustible, Aceites y Aire; Engrase General; Revision de sistema eléctrico y electrónico, eje delantero y posterior, suspensión, dirección, frenos y sistema de aire</t>
  </si>
  <si>
    <t>Cambio de Aceite Motor, Transmision y Corona, Cambio de filtros para Combustible, Aceites y Aire; Engrase General; Revision de sistema eléctrico y electrónico, eje delantero y posterior, suspensión, dirección, frenos y sistema de aire.
Reparacion de tuberias de toma de aire y cambio de empaque de multpl de admision.</t>
  </si>
  <si>
    <t>Cambio de Aceite Motor, Transmision y Corona, Cambio de filtros para Combustible, Aceites y Aire; Engrase General; Revision de sistema eléctrico y electrónico, eje delantero y posterior, suspensión, dirección, frenos y sistema de aire
Correccion de fugas de Aceite, Cambio de amortiguadores posteriores, Reparacion de radiador y cambio e intalacion de INTERCOLER 7600 W. STAR, Inastalacion de DEFLECTOR DE AIRE COMPLETO.</t>
  </si>
  <si>
    <r>
      <t xml:space="preserve">Srvc Mantto A ISM
</t>
    </r>
    <r>
      <rPr>
        <sz val="10"/>
        <rFont val="Arial Narrow"/>
        <family val="2"/>
      </rPr>
      <t>Lube 1</t>
    </r>
    <r>
      <rPr>
        <sz val="11"/>
        <rFont val="Arial Narrow"/>
        <family val="2"/>
      </rPr>
      <t xml:space="preserve">
</t>
    </r>
    <r>
      <rPr>
        <sz val="10"/>
        <rFont val="Arial Narrow"/>
        <family val="2"/>
      </rPr>
      <t>Reparacion Correctivo</t>
    </r>
  </si>
  <si>
    <t>Srvc_Reparacion
Correctivo
Imprevisto</t>
  </si>
  <si>
    <t>Reparacion de Motor en segunda culata por pase de agua,cambio de empaques y accesorios.</t>
  </si>
  <si>
    <t>Reparacion PARCIAL de Motor Cambio de metales de biela y bancada, cambio de camisas, cambio de culatas, reparacion de bomba de inyeccion e inyectores,cambio de tapones, mangueras, empaques y accesorios.</t>
  </si>
  <si>
    <t>Reparacion PARCIAL de Motor Cambio de metales de biela y bancada, cambio de pistones, camisas 3ra y 4ta, cambio de 2da culata, ,cambio de tapones, mangueras, empaques y accesorios.</t>
  </si>
  <si>
    <t>Srvc_Reparacion
Preventivo</t>
  </si>
  <si>
    <t>Cambio de Embrague, reparacion GENERAL e instalacion.</t>
  </si>
  <si>
    <t xml:space="preserve">Reparacion de Transmision Fuller, Plato sicronizador, piñon de alta, sincronizador de alta y baja, cambio de empaues </t>
  </si>
  <si>
    <t>Reparacion de Arrancador y mantenimiento de sistema electrico</t>
  </si>
  <si>
    <t>Reparacion PARCIAL de Motor Cambio de metales de biela y bancada, cambio de camisas, cambio de tapones, mangueras, empaques y accesorios.</t>
  </si>
  <si>
    <t>Andrade Catalan</t>
  </si>
  <si>
    <t>QUIMPAC   Sem 42 y 43</t>
  </si>
  <si>
    <r>
      <t xml:space="preserve">   Memorandum - Sem 043/2017</t>
    </r>
    <r>
      <rPr>
        <sz val="11"/>
        <rFont val="Arial"/>
        <family val="2"/>
      </rPr>
      <t xml:space="preserve">   -   Fecha: 02/11/2017                Anexo</t>
    </r>
  </si>
  <si>
    <t>1P97</t>
  </si>
  <si>
    <t>2D15</t>
  </si>
  <si>
    <t>Reparacion, regulacion de frenos, servicio y mantenimiento de arrancador, inspeccion de llantas.</t>
  </si>
  <si>
    <t>Reparacion, soldadura de tubo de escape, servicio y mantenimiento de luces, inspeccion de llantas y mejoramiento 2 llantas.</t>
  </si>
  <si>
    <t>Trabajos de soldadura en compuerta, servicio y mantenimiento de luces, Inspeccion y mejoramiento de 1 llanta</t>
  </si>
  <si>
    <t>Reparacion de frenos, servicio y mantenimiento de luces, Inspeccion de llantas en general</t>
  </si>
  <si>
    <t>Regulacion y lubricacion de embrague, Servicio de mantenimiento de Alternador, mejoramiento de llantas se cambio 1 llanta</t>
  </si>
  <si>
    <t>Regulacion y limpieza de frenos, Inspecion de llantas en pesion y remanentes</t>
  </si>
  <si>
    <t>Reparacion Imprevita de Motor Cambio de metales de biela y bancada (2da culata), cambio de camisas x baja altura, cambio de tapones, mangueras, empaques y accesorios. Cambio de Aceite de Motor y filtos de lubricacion</t>
  </si>
  <si>
    <t>Reparacion Imprevita de Motor Cambio de metales de biela y bancada (2da culata), cambio de camisas x picaduras, cambio de tapones, mangueras, empaques y accesorios. Cambio de Aceite de Motor y filtros de lubricacion</t>
  </si>
  <si>
    <t>Srvc Mantto A ISM
Lube 1
Reparacion Correctivo</t>
  </si>
  <si>
    <t>Srvc_Lube2
Reparacion Correctivo</t>
  </si>
  <si>
    <t>Reparacion de Arrancador, mantenimiento de Alternador, servicio de Baterias y mantenimiento General de sistema electrico cableado y luces.</t>
  </si>
  <si>
    <t>Cambio de Embrague, reparacion GENERAL, lubricacion e instalacion.</t>
  </si>
  <si>
    <t xml:space="preserve">Reparacion de Transmision Fuller, Plato sicronizador, piñon de alta, sincronizador de alta y baja, cambio de empaues y lubricacion general </t>
  </si>
  <si>
    <t>Reparacion de Motor en segunda culata por pase de agua,cambio de empaques y accesorios. Cambio de aceite y filtros de lubricacion</t>
  </si>
  <si>
    <t>Servc_Inicial
Lube 1</t>
  </si>
  <si>
    <t>Srvc_Reparacion
Imprevisto</t>
  </si>
  <si>
    <t>Reparacion PARCIAL de Motor Cambio de metales de biela y bancada, cambio de camisas, cambio de tapones, mangueras, empaques y accesorios.Cambio de aceite y filtros de lubricacion general</t>
  </si>
  <si>
    <t xml:space="preserve">   Parado desde Julio-2015 hasta agosto-2017</t>
  </si>
  <si>
    <t xml:space="preserve">   Parado desde marzo-2017 hasta noviembre-2017</t>
  </si>
  <si>
    <r>
      <t xml:space="preserve">     Informe de Mantenimientos Realizados a las Unidades(</t>
    </r>
    <r>
      <rPr>
        <sz val="14"/>
        <rFont val="Arial"/>
        <family val="2"/>
      </rPr>
      <t>Servicio a QUIMPAC</t>
    </r>
    <r>
      <rPr>
        <sz val="20"/>
        <rFont val="Arial"/>
        <family val="2"/>
      </rPr>
      <t xml:space="preserve">)
</t>
    </r>
    <r>
      <rPr>
        <i/>
        <sz val="18"/>
        <rFont val="Arial"/>
        <family val="2"/>
      </rPr>
      <t>Periodo Noviembre 2015 - Octubre 2017.</t>
    </r>
  </si>
  <si>
    <t xml:space="preserve">            Descripcion breve de trabajo realizado</t>
  </si>
  <si>
    <t>REPORTE DE VIAJES SERVICIO PLATAFORMAS SEM 44_2017</t>
  </si>
  <si>
    <t>1D81</t>
  </si>
  <si>
    <t>GUILLERMO PAREDES LUQUE</t>
  </si>
  <si>
    <t>TEOFILO CUADROS NOLASCO</t>
  </si>
  <si>
    <t>ANTENOR LEO CAMARA ORIZANO</t>
  </si>
  <si>
    <t>MIGUEL ANGEL OCTAVIO VILLANUEVA ROBLES</t>
  </si>
  <si>
    <t>1P88</t>
  </si>
  <si>
    <t>ABEL CANDIOTTI CANO</t>
  </si>
  <si>
    <t>ANDRADE CATALAN HUAMAN</t>
  </si>
  <si>
    <t>WALTER VARGAS HUAMAN</t>
  </si>
  <si>
    <t>MARIO CESAR ALARICO PINEDA</t>
  </si>
  <si>
    <t>2D04</t>
  </si>
  <si>
    <t>WALTER FERNANDO CASTILLO RUBIO</t>
  </si>
  <si>
    <t>DANIEL QUISPE BONIFACIO</t>
  </si>
  <si>
    <t>2D12</t>
  </si>
  <si>
    <t>NELSON JESUS TORRES ARBIETO</t>
  </si>
  <si>
    <t>2D14</t>
  </si>
  <si>
    <t>RUFINO CHAMBI HERRERA</t>
  </si>
  <si>
    <t>OMAR IVAN GUERRERO CENTURION</t>
  </si>
  <si>
    <t>2D18</t>
  </si>
  <si>
    <t>PERCY RUBEN MAMANI MAMANI</t>
  </si>
  <si>
    <t>2D19</t>
  </si>
  <si>
    <t>JAIME LIZARBE CARDENAS</t>
  </si>
  <si>
    <t>JUAN CARLOS DIAZ BILBAO</t>
  </si>
  <si>
    <t>PEDRO ABRAHAM RAFAELLE QUIROZ</t>
  </si>
  <si>
    <t>TOTAL ::</t>
  </si>
  <si>
    <t>JUAN CARLOS ASMAT SIGUEÑAS</t>
  </si>
  <si>
    <t>DOBLES</t>
  </si>
  <si>
    <t xml:space="preserve">Bonificacion </t>
  </si>
  <si>
    <t>S/ 6.00 &gt;25Vjs</t>
  </si>
  <si>
    <t>SIMPLES</t>
  </si>
  <si>
    <t>PAGO</t>
  </si>
  <si>
    <t>NETO</t>
  </si>
  <si>
    <t>PG_PROY</t>
  </si>
  <si>
    <t>Net 87%</t>
  </si>
  <si>
    <t>JULIO ALBERTO OLIVERA APAZA</t>
  </si>
  <si>
    <t>1P98</t>
  </si>
  <si>
    <t>ROLANDO JESUS PACHECO SOLIER</t>
  </si>
  <si>
    <t>NEON SAMUEL BOBBIO AGUILAR</t>
  </si>
  <si>
    <t>JUAN CARLOS ASMAT SIGUEñAS</t>
  </si>
  <si>
    <t>REPORTE DE VIAJES SERVICIO PLATAFORMAS SEM 45_2017</t>
  </si>
  <si>
    <t>Diefencia</t>
  </si>
  <si>
    <t>Net_S/.720=</t>
  </si>
  <si>
    <t>CONDOR MEZA JUAN CARLOS</t>
  </si>
  <si>
    <t>RAFAELE  QUIROZ PEDRO ABRAHAM</t>
  </si>
  <si>
    <t>GUERRERO CENTURION OMAR IVAN</t>
  </si>
  <si>
    <t>OLIVERA APAZA JULIO ALBERTO</t>
  </si>
  <si>
    <t>CASTILLO  RUBIO WALTER FERNANDO</t>
  </si>
  <si>
    <t>MAMANI  MAMANI  PERCY RUBEN</t>
  </si>
  <si>
    <t>CARPIO  CASTILLO ALBERTO ROMAN</t>
  </si>
  <si>
    <t>QUISPE  BONIFACIO DANIEL</t>
  </si>
  <si>
    <t>TORRES  ARBIETO NELSON JESUS</t>
  </si>
  <si>
    <t>CATALAN  HUAMANI ANDRADE</t>
  </si>
  <si>
    <t>CANDIOTTI  CANO ABEL</t>
  </si>
  <si>
    <t>ALARICO  PINEDA MARIO CESAR</t>
  </si>
  <si>
    <t>PAREDES LUQUE GUILLERMO</t>
  </si>
  <si>
    <t>LAUREANO  YAPIAS EMMANUEL</t>
  </si>
  <si>
    <t>VILLANUEVA  ROBLES MIGUEL ANGEL OC</t>
  </si>
  <si>
    <t>DIAZ BILBAO JUAN CARLOS</t>
  </si>
  <si>
    <t>Vs01</t>
  </si>
  <si>
    <t xml:space="preserve"> x Recibo</t>
  </si>
  <si>
    <t>Vs01  -  Juarez Poma, Octavio</t>
  </si>
  <si>
    <t>Diagonal</t>
  </si>
  <si>
    <t xml:space="preserve"> 55 pulg</t>
  </si>
  <si>
    <t>Alberto Carpio</t>
  </si>
  <si>
    <t>0P10</t>
  </si>
  <si>
    <t>QUIMPAC   Sem 45</t>
  </si>
  <si>
    <t>San REMO   Sem  46</t>
  </si>
  <si>
    <t>Juan Uriarte</t>
  </si>
  <si>
    <t>1P99</t>
  </si>
  <si>
    <t>T o l v a s</t>
  </si>
  <si>
    <t>2D08</t>
  </si>
  <si>
    <t>DAVID BARROSO LOMOTE</t>
  </si>
  <si>
    <t>JUAN C DIAZ BILBAO</t>
  </si>
  <si>
    <t>Almacenes RANSA Sm46</t>
  </si>
  <si>
    <t>Descuento x 5ta Categ</t>
  </si>
  <si>
    <r>
      <t xml:space="preserve">   Memorandum - Sem 046/2017</t>
    </r>
    <r>
      <rPr>
        <sz val="10"/>
        <rFont val="Draft 15cpi"/>
        <family val="3"/>
      </rPr>
      <t xml:space="preserve">   -   Fecha: 22/11/2017           ***     </t>
    </r>
    <r>
      <rPr>
        <b/>
        <sz val="10"/>
        <rFont val="Draft 15cpi"/>
        <family val="3"/>
      </rPr>
      <t xml:space="preserve">A N E X O  </t>
    </r>
    <r>
      <rPr>
        <sz val="10"/>
        <rFont val="Draft 15cpi"/>
        <family val="3"/>
      </rPr>
      <t>***</t>
    </r>
  </si>
  <si>
    <t>Reintgr Memo 046</t>
  </si>
  <si>
    <t>TOTAL Bonofica-cion</t>
  </si>
  <si>
    <t>2D24</t>
  </si>
  <si>
    <t>2D23</t>
  </si>
  <si>
    <r>
      <t xml:space="preserve">     </t>
    </r>
    <r>
      <rPr>
        <b/>
        <sz val="10"/>
        <color rgb="FFFF0000"/>
        <rFont val="Arial"/>
        <family val="2"/>
      </rPr>
      <t>Precio    Oferta    (Incl IGV)</t>
    </r>
  </si>
  <si>
    <r>
      <t xml:space="preserve">     </t>
    </r>
    <r>
      <rPr>
        <b/>
        <sz val="10"/>
        <color rgb="FFFF0000"/>
        <rFont val="Arial"/>
        <family val="2"/>
      </rPr>
      <t>Precio    Normal    (Incl IGV)</t>
    </r>
  </si>
  <si>
    <t>TOTAL    por  01 Llanta con Aro</t>
  </si>
  <si>
    <r>
      <t xml:space="preserve">   Memorandum - Sem 047/2017</t>
    </r>
    <r>
      <rPr>
        <sz val="10"/>
        <rFont val="Draft 15cpi"/>
        <family val="3"/>
      </rPr>
      <t xml:space="preserve">   -   Fecha: 29/11/2017           ***     </t>
    </r>
    <r>
      <rPr>
        <b/>
        <sz val="10"/>
        <rFont val="Draft 15cpi"/>
        <family val="3"/>
      </rPr>
      <t xml:space="preserve">A N E X O  </t>
    </r>
    <r>
      <rPr>
        <sz val="10"/>
        <rFont val="Draft 15cpi"/>
        <family val="3"/>
      </rPr>
      <t>***</t>
    </r>
  </si>
  <si>
    <t xml:space="preserve">QUIMPAC   Sem </t>
  </si>
  <si>
    <t xml:space="preserve">San REMO   Sem  </t>
  </si>
  <si>
    <t>Reintgr Memo 047</t>
  </si>
  <si>
    <t>(V)JUAN CARLOS ASMAT SIGUEñAS</t>
  </si>
  <si>
    <t>(V)Octavio Juarez</t>
  </si>
  <si>
    <t>(V)RUFINO CHAMBI HERRERA</t>
  </si>
  <si>
    <t>Enel Perú</t>
  </si>
  <si>
    <t>JorgeM@transcosta.com.pe - jm06581811</t>
  </si>
  <si>
    <t xml:space="preserve">  JorgeM@transcosta.com.pe - jm06581811</t>
  </si>
  <si>
    <t>App</t>
  </si>
  <si>
    <r>
      <t xml:space="preserve">   Memorandum - Sem 048/2017</t>
    </r>
    <r>
      <rPr>
        <sz val="10"/>
        <rFont val="Draft 15cpi"/>
        <family val="3"/>
      </rPr>
      <t xml:space="preserve">   -   Fecha: 05/12/2017           ***     </t>
    </r>
    <r>
      <rPr>
        <b/>
        <sz val="10"/>
        <rFont val="Draft 15cpi"/>
        <family val="3"/>
      </rPr>
      <t xml:space="preserve">A N E X O  </t>
    </r>
    <r>
      <rPr>
        <sz val="10"/>
        <rFont val="Draft 15cpi"/>
        <family val="3"/>
      </rPr>
      <t>***</t>
    </r>
  </si>
  <si>
    <t>2P01</t>
  </si>
  <si>
    <t>FAUSTINO LAURA LLAMOCURI</t>
  </si>
  <si>
    <t>Reintgr Memo 048</t>
  </si>
  <si>
    <r>
      <t xml:space="preserve">   Memorandum - Sem 049(050)/2017</t>
    </r>
    <r>
      <rPr>
        <sz val="10"/>
        <rFont val="Draft 15cpi"/>
        <family val="3"/>
      </rPr>
      <t xml:space="preserve">   -   Fecha: 13/12/2017           ***     </t>
    </r>
    <r>
      <rPr>
        <b/>
        <sz val="10"/>
        <rFont val="Draft 15cpi"/>
        <family val="3"/>
      </rPr>
      <t xml:space="preserve">A N E X O  </t>
    </r>
    <r>
      <rPr>
        <sz val="10"/>
        <rFont val="Draft 15cpi"/>
        <family val="3"/>
      </rPr>
      <t>***</t>
    </r>
  </si>
  <si>
    <t>Reintgr Adicional</t>
  </si>
  <si>
    <t>Almacenes RANSA Sm49</t>
  </si>
  <si>
    <t>JULIO CARDENAS SALDAÑA</t>
  </si>
  <si>
    <t>MIGUEL ANGEL VILLANUEVA ROBLES</t>
  </si>
  <si>
    <t>Percy Mamani</t>
  </si>
  <si>
    <t>Descuento x 5ta Categ   Sem-49</t>
  </si>
  <si>
    <t>Fuera de planillas</t>
  </si>
  <si>
    <r>
      <t xml:space="preserve">   Memorandum - Sem 050/2017</t>
    </r>
    <r>
      <rPr>
        <sz val="10"/>
        <rFont val="Draft 15cpi"/>
        <family val="3"/>
      </rPr>
      <t xml:space="preserve">   -   Fecha: 19/12/2017           ***     </t>
    </r>
    <r>
      <rPr>
        <b/>
        <sz val="10"/>
        <rFont val="Draft 15cpi"/>
        <family val="3"/>
      </rPr>
      <t xml:space="preserve">A N E X O  </t>
    </r>
    <r>
      <rPr>
        <sz val="10"/>
        <rFont val="Draft 15cpi"/>
        <family val="3"/>
      </rPr>
      <t>***</t>
    </r>
  </si>
  <si>
    <t>2D26</t>
  </si>
  <si>
    <t>SAMUEL RAMOS FLORES</t>
  </si>
  <si>
    <t>Reintgr Memo 050</t>
  </si>
  <si>
    <t>CHAMBI HERRERA RUFINO</t>
  </si>
  <si>
    <t>IMPTO. 5TA CTG.</t>
  </si>
  <si>
    <r>
      <t xml:space="preserve">   Memorandum - Sem 051/2017</t>
    </r>
    <r>
      <rPr>
        <sz val="10"/>
        <rFont val="Draft 15cpi"/>
        <family val="3"/>
      </rPr>
      <t xml:space="preserve">   -   Fecha: 27/12/2017           ***     </t>
    </r>
    <r>
      <rPr>
        <b/>
        <sz val="10"/>
        <rFont val="Draft 15cpi"/>
        <family val="3"/>
      </rPr>
      <t xml:space="preserve">A N E X O  </t>
    </r>
    <r>
      <rPr>
        <sz val="10"/>
        <rFont val="Draft 15cpi"/>
        <family val="3"/>
      </rPr>
      <t>***</t>
    </r>
  </si>
  <si>
    <t>Almacenes RANSA Sm51</t>
  </si>
  <si>
    <t>Descuento x 5ta Categ   Sem-51</t>
  </si>
  <si>
    <t>Reintgr Memo 051</t>
  </si>
  <si>
    <t>C/7500klms Cmb Aceite</t>
  </si>
  <si>
    <t>10,000klms</t>
  </si>
  <si>
    <t>15,000klms</t>
  </si>
  <si>
    <t>7,500klms</t>
  </si>
  <si>
    <t>Rt_Larga</t>
  </si>
  <si>
    <t>Rt_Corta</t>
  </si>
  <si>
    <t>Rt_Reparto Loc</t>
  </si>
  <si>
    <r>
      <t xml:space="preserve">   Memorandum - Sem 052/2017</t>
    </r>
    <r>
      <rPr>
        <sz val="10"/>
        <rFont val="Draft 15cpi"/>
        <family val="3"/>
      </rPr>
      <t xml:space="preserve">   -   Fecha: 03/01/2018           ***     </t>
    </r>
    <r>
      <rPr>
        <b/>
        <sz val="10"/>
        <rFont val="Draft 15cpi"/>
        <family val="3"/>
      </rPr>
      <t xml:space="preserve">A N E X O  </t>
    </r>
    <r>
      <rPr>
        <sz val="10"/>
        <rFont val="Draft 15cpi"/>
        <family val="3"/>
      </rPr>
      <t>***</t>
    </r>
  </si>
  <si>
    <t xml:space="preserve">MIXERCON   Sem 52  </t>
  </si>
  <si>
    <t xml:space="preserve">XXXXXX   Sem </t>
  </si>
  <si>
    <t>Almacenes RANSA  Sem 52</t>
  </si>
  <si>
    <t>Reintgr Memo 052</t>
  </si>
  <si>
    <t>Descuento x 5ta Categ   Sem-52</t>
  </si>
  <si>
    <t>Descuento x 5ta Categ   Sem-50</t>
  </si>
  <si>
    <r>
      <t xml:space="preserve">   Memorandum - Sem 001/2018</t>
    </r>
    <r>
      <rPr>
        <sz val="10"/>
        <rFont val="Draft 15cpi"/>
        <family val="3"/>
      </rPr>
      <t xml:space="preserve">   -   Fecha: 09/01/2018           ***     </t>
    </r>
    <r>
      <rPr>
        <b/>
        <sz val="10"/>
        <rFont val="Draft 15cpi"/>
        <family val="3"/>
      </rPr>
      <t xml:space="preserve">A N E X O  </t>
    </r>
    <r>
      <rPr>
        <sz val="10"/>
        <rFont val="Draft 15cpi"/>
        <family val="3"/>
      </rPr>
      <t>***</t>
    </r>
  </si>
  <si>
    <t>Descuento x 5ta Categ   Sem-01</t>
  </si>
  <si>
    <t>Almacenes RANSA  Sem 01</t>
  </si>
  <si>
    <t>Reintgr Memo 001</t>
  </si>
  <si>
    <t>Alejandro Dueñas</t>
  </si>
  <si>
    <t xml:space="preserve">  Calculo aproximado x Semana</t>
  </si>
  <si>
    <t>Descuent 13%</t>
  </si>
  <si>
    <t>PERSONAL DE TALLER - PLANILLA 2018</t>
  </si>
  <si>
    <t>Basico Dia</t>
  </si>
  <si>
    <t>Ingr_Brut Sem</t>
  </si>
  <si>
    <t>Bonif_Fija Sem</t>
  </si>
  <si>
    <t xml:space="preserve">  Basico Mensual</t>
  </si>
  <si>
    <t>INGRESO MINIMO (Basico)</t>
  </si>
  <si>
    <t>*** Se realizara los cambios de aceite</t>
  </si>
  <si>
    <r>
      <t xml:space="preserve">   Memorandum - Sem 002/2018</t>
    </r>
    <r>
      <rPr>
        <sz val="10"/>
        <rFont val="Draft 15cpi"/>
        <family val="3"/>
      </rPr>
      <t xml:space="preserve">   -   Fecha: 16/01/2018           ***     </t>
    </r>
    <r>
      <rPr>
        <b/>
        <sz val="10"/>
        <rFont val="Draft 15cpi"/>
        <family val="3"/>
      </rPr>
      <t xml:space="preserve">A N E X O  </t>
    </r>
    <r>
      <rPr>
        <sz val="10"/>
        <rFont val="Draft 15cpi"/>
        <family val="3"/>
      </rPr>
      <t>***</t>
    </r>
  </si>
  <si>
    <t>Fuera de Planilla</t>
  </si>
  <si>
    <r>
      <t xml:space="preserve">   Memorandum - Sem 003/2018</t>
    </r>
    <r>
      <rPr>
        <sz val="10"/>
        <rFont val="Draft 15cpi"/>
        <family val="3"/>
      </rPr>
      <t xml:space="preserve">   -   Fecha: 24/01/2018           ***     </t>
    </r>
    <r>
      <rPr>
        <b/>
        <sz val="10"/>
        <rFont val="Draft 15cpi"/>
        <family val="3"/>
      </rPr>
      <t xml:space="preserve">A N E X O  </t>
    </r>
    <r>
      <rPr>
        <sz val="10"/>
        <rFont val="Draft 15cpi"/>
        <family val="3"/>
      </rPr>
      <t>***</t>
    </r>
  </si>
  <si>
    <t>Almacenes RANSA  Sem 03</t>
  </si>
  <si>
    <t>Boleta Informativa (Original) del propietario actual</t>
  </si>
  <si>
    <t>DNI (Original y copia) de la persona que recoge.</t>
  </si>
  <si>
    <t xml:space="preserve">Denuncia policial original o copia certificada por la PNP </t>
  </si>
  <si>
    <t>GENERAR SOLICITUD Y CODIGO DE PAGO (Conti, BCP, Scotia,Banbif)</t>
  </si>
  <si>
    <t>Vigencia Poder original y copia (no mayor a 30 días de Antig.).</t>
  </si>
  <si>
    <r>
      <t xml:space="preserve">Duplicado de Placas </t>
    </r>
    <r>
      <rPr>
        <sz val="10"/>
        <rFont val="Arial Narrow"/>
        <family val="2"/>
      </rPr>
      <t>(AAP 640-3636 en 3d utiles)</t>
    </r>
  </si>
  <si>
    <r>
      <t xml:space="preserve">   Memorandum - Sem 004/2018</t>
    </r>
    <r>
      <rPr>
        <sz val="10"/>
        <rFont val="Draft 15cpi"/>
        <family val="3"/>
      </rPr>
      <t xml:space="preserve">   -   Fecha: 31/01/2018           ***     </t>
    </r>
    <r>
      <rPr>
        <b/>
        <sz val="10"/>
        <rFont val="Draft 15cpi"/>
        <family val="3"/>
      </rPr>
      <t xml:space="preserve">A N E X O  </t>
    </r>
    <r>
      <rPr>
        <sz val="10"/>
        <rFont val="Draft 15cpi"/>
        <family val="3"/>
      </rPr>
      <t>***</t>
    </r>
  </si>
  <si>
    <t>Almacenes RANSA  Sem 04</t>
  </si>
  <si>
    <t>Reintgr Memo 004</t>
  </si>
  <si>
    <t xml:space="preserve">MIXERCON   Sem 03y04  </t>
  </si>
  <si>
    <t>2P02</t>
  </si>
  <si>
    <t>FRODIN GARCIA CHAVEZ</t>
  </si>
  <si>
    <t>2P03</t>
  </si>
  <si>
    <t>WILVER VASQUEZ PAREDES</t>
  </si>
  <si>
    <t> tk-capacitacion@transcosta.com.pe</t>
  </si>
  <si>
    <r>
      <t xml:space="preserve">   Memorandum - Sem 005/2018</t>
    </r>
    <r>
      <rPr>
        <sz val="10"/>
        <rFont val="Draft 15cpi"/>
        <family val="3"/>
      </rPr>
      <t xml:space="preserve">   -   Fecha: 06/02/2018           ***     </t>
    </r>
    <r>
      <rPr>
        <b/>
        <sz val="10"/>
        <rFont val="Draft 15cpi"/>
        <family val="3"/>
      </rPr>
      <t xml:space="preserve">A N E X O  </t>
    </r>
    <r>
      <rPr>
        <sz val="10"/>
        <rFont val="Draft 15cpi"/>
        <family val="3"/>
      </rPr>
      <t>***</t>
    </r>
  </si>
  <si>
    <t>Almacenes RANSA  Sem 05</t>
  </si>
  <si>
    <t xml:space="preserve">MIXERCON   Sem 05  </t>
  </si>
  <si>
    <t>Reintgr Memo 005</t>
  </si>
  <si>
    <t>Dennis Ramos M.</t>
  </si>
  <si>
    <t xml:space="preserve">  lo conversado con el Sr. Malaga </t>
  </si>
  <si>
    <t xml:space="preserve">  (al 08/01/2018 09:20hrs)</t>
  </si>
  <si>
    <t>M1- Freighliner (Mtto)</t>
  </si>
  <si>
    <t>Recomd x J_Guitierrez</t>
  </si>
  <si>
    <r>
      <t xml:space="preserve">   Memorandum - Sem 006/2018</t>
    </r>
    <r>
      <rPr>
        <sz val="10"/>
        <rFont val="Draft 15cpi"/>
        <family val="3"/>
      </rPr>
      <t xml:space="preserve">   -   Fecha: 13/02/2018           ***     </t>
    </r>
    <r>
      <rPr>
        <b/>
        <sz val="10"/>
        <rFont val="Draft 15cpi"/>
        <family val="3"/>
      </rPr>
      <t xml:space="preserve">A N E X O  </t>
    </r>
    <r>
      <rPr>
        <sz val="10"/>
        <rFont val="Draft 15cpi"/>
        <family val="3"/>
      </rPr>
      <t>***</t>
    </r>
  </si>
  <si>
    <t>Reintgr Memo 006</t>
  </si>
  <si>
    <t>Almacenes RANSA  Sem 06</t>
  </si>
  <si>
    <t xml:space="preserve">MIXERCON   Sem 06  </t>
  </si>
  <si>
    <t>VS02</t>
  </si>
  <si>
    <t>LISTADO</t>
  </si>
  <si>
    <t>Fuera d Rango</t>
  </si>
  <si>
    <t>402  AFE-989</t>
  </si>
  <si>
    <r>
      <t xml:space="preserve">   Memorandum - Sem 007/2018</t>
    </r>
    <r>
      <rPr>
        <sz val="10"/>
        <rFont val="Draft 15cpi"/>
        <family val="3"/>
      </rPr>
      <t xml:space="preserve">   -   Fecha: 20/02/2018           ***     </t>
    </r>
    <r>
      <rPr>
        <b/>
        <sz val="10"/>
        <rFont val="Draft 15cpi"/>
        <family val="3"/>
      </rPr>
      <t xml:space="preserve">A N E X O  </t>
    </r>
    <r>
      <rPr>
        <sz val="10"/>
        <rFont val="Draft 15cpi"/>
        <family val="3"/>
      </rPr>
      <t>***</t>
    </r>
  </si>
  <si>
    <t>Almacenes RANSA  Sem 07</t>
  </si>
  <si>
    <t>Reintgr Memo 007</t>
  </si>
  <si>
    <t>VS03</t>
  </si>
  <si>
    <r>
      <t xml:space="preserve">   Memorandum - Sem 008/2018</t>
    </r>
    <r>
      <rPr>
        <sz val="10"/>
        <rFont val="Draft 15cpi"/>
        <family val="3"/>
      </rPr>
      <t xml:space="preserve">   -   Fecha: 27/02/2018           ***     </t>
    </r>
    <r>
      <rPr>
        <b/>
        <sz val="10"/>
        <rFont val="Draft 15cpi"/>
        <family val="3"/>
      </rPr>
      <t xml:space="preserve">A N E X O  </t>
    </r>
    <r>
      <rPr>
        <sz val="10"/>
        <rFont val="Draft 15cpi"/>
        <family val="3"/>
      </rPr>
      <t>***</t>
    </r>
  </si>
  <si>
    <t>Almacenes RANSA  Sem 08</t>
  </si>
  <si>
    <t>Reintgr Memo 008</t>
  </si>
  <si>
    <t>VS04</t>
  </si>
  <si>
    <t>Reintgr Memo 009</t>
  </si>
  <si>
    <t>2P04</t>
  </si>
  <si>
    <t>SILVIA ALVARADO PRADO</t>
  </si>
  <si>
    <t>Almacenes RANSA  Sem 09</t>
  </si>
  <si>
    <t>Mixercon   Sem 09</t>
  </si>
  <si>
    <t>PEDRO RAFAELLE QUIROZ</t>
  </si>
  <si>
    <r>
      <t xml:space="preserve">   Memorandum - Sem 009/2018</t>
    </r>
    <r>
      <rPr>
        <sz val="10"/>
        <rFont val="Draft 15cpi"/>
        <family val="3"/>
      </rPr>
      <t xml:space="preserve">   -   Fecha: 06/03/2018           ***     </t>
    </r>
    <r>
      <rPr>
        <b/>
        <sz val="10"/>
        <rFont val="Draft 15cpi"/>
        <family val="3"/>
      </rPr>
      <t xml:space="preserve">A N E X O  </t>
    </r>
    <r>
      <rPr>
        <sz val="10"/>
        <rFont val="Draft 15cpi"/>
        <family val="3"/>
      </rPr>
      <t>***</t>
    </r>
  </si>
  <si>
    <r>
      <t xml:space="preserve">   Memorandum - Sem 010/2018</t>
    </r>
    <r>
      <rPr>
        <sz val="10"/>
        <rFont val="Draft 15cpi"/>
        <family val="3"/>
      </rPr>
      <t xml:space="preserve">   -   Fecha: 13/03/2018           ***     </t>
    </r>
    <r>
      <rPr>
        <b/>
        <sz val="10"/>
        <rFont val="Draft 15cpi"/>
        <family val="3"/>
      </rPr>
      <t xml:space="preserve">A N E X O  </t>
    </r>
    <r>
      <rPr>
        <sz val="10"/>
        <rFont val="Draft 15cpi"/>
        <family val="3"/>
      </rPr>
      <t>***</t>
    </r>
  </si>
  <si>
    <t>Reintgr Memo 010</t>
  </si>
  <si>
    <t>San Remo Sem 10</t>
  </si>
  <si>
    <t>2P05</t>
  </si>
  <si>
    <t>JUAN MANUEL CAJACURI CASAS</t>
  </si>
  <si>
    <r>
      <t xml:space="preserve">   Memorandum - Sem 011/2018</t>
    </r>
    <r>
      <rPr>
        <sz val="10"/>
        <rFont val="Draft 15cpi"/>
        <family val="3"/>
      </rPr>
      <t xml:space="preserve">   -   Fecha: 21/03/2018           ***     </t>
    </r>
    <r>
      <rPr>
        <b/>
        <sz val="10"/>
        <rFont val="Draft 15cpi"/>
        <family val="3"/>
      </rPr>
      <t xml:space="preserve">A N E X O  </t>
    </r>
    <r>
      <rPr>
        <sz val="10"/>
        <rFont val="Draft 15cpi"/>
        <family val="3"/>
      </rPr>
      <t>***</t>
    </r>
  </si>
  <si>
    <t>Almacenes RANSA  Sem 11</t>
  </si>
  <si>
    <t>San Remo Sem 11</t>
  </si>
  <si>
    <t>Reintgr Memo 
Sem-11</t>
  </si>
  <si>
    <t xml:space="preserve"> + S/ 40.00 x remolcar unidad</t>
  </si>
  <si>
    <t xml:space="preserve"> + S/ 100.00 x espera de R-165</t>
  </si>
  <si>
    <t>Planilla ---&gt;&gt;</t>
  </si>
  <si>
    <r>
      <t xml:space="preserve">   Memorandum - Sem 012/2018</t>
    </r>
    <r>
      <rPr>
        <sz val="10"/>
        <rFont val="Draft 15cpi"/>
        <family val="3"/>
      </rPr>
      <t xml:space="preserve">   -   Fecha: 27/03/2018           ***     </t>
    </r>
    <r>
      <rPr>
        <b/>
        <sz val="10"/>
        <rFont val="Draft 15cpi"/>
        <family val="3"/>
      </rPr>
      <t xml:space="preserve">A N E X O  </t>
    </r>
    <r>
      <rPr>
        <sz val="10"/>
        <rFont val="Draft 15cpi"/>
        <family val="3"/>
      </rPr>
      <t>***</t>
    </r>
  </si>
  <si>
    <t>San Remo Sem 12</t>
  </si>
  <si>
    <t>Almacenes RANSA  Sem 12</t>
  </si>
  <si>
    <t>Reintgr Memo 
Sem-12</t>
  </si>
  <si>
    <t>Correccion al 03/04/2018</t>
  </si>
  <si>
    <r>
      <t xml:space="preserve">   Memorandum - Sem 013/2018</t>
    </r>
    <r>
      <rPr>
        <sz val="10"/>
        <rFont val="Draft 15cpi"/>
        <family val="3"/>
      </rPr>
      <t xml:space="preserve">   -   Fecha: 04/04/2018           ***     </t>
    </r>
    <r>
      <rPr>
        <b/>
        <sz val="10"/>
        <rFont val="Draft 15cpi"/>
        <family val="3"/>
      </rPr>
      <t xml:space="preserve">A N E X O  </t>
    </r>
    <r>
      <rPr>
        <sz val="10"/>
        <rFont val="Draft 15cpi"/>
        <family val="3"/>
      </rPr>
      <t>***</t>
    </r>
  </si>
  <si>
    <t>San Remo Sem 13</t>
  </si>
  <si>
    <t>Almacenes RANSA  Sem 13</t>
  </si>
  <si>
    <t>Reintgr Memo 
Sem-13</t>
  </si>
  <si>
    <t>2D27</t>
  </si>
  <si>
    <t xml:space="preserve">  Listado</t>
  </si>
  <si>
    <t>Reintegro Afecto</t>
  </si>
  <si>
    <t>DESCUENTO</t>
  </si>
  <si>
    <t>SOATs</t>
  </si>
  <si>
    <t>Mtto_A-ISM</t>
  </si>
  <si>
    <t>Cmb_Ac-Motor</t>
  </si>
  <si>
    <t>1 KIA Rojo Sportage 2.0</t>
  </si>
  <si>
    <r>
      <t xml:space="preserve">Vencmt </t>
    </r>
    <r>
      <rPr>
        <sz val="7"/>
        <color rgb="FF0000FF"/>
        <rFont val="Arial"/>
        <family val="2"/>
      </rPr>
      <t>Rev-Tec</t>
    </r>
  </si>
  <si>
    <t>LSUR000000032320</t>
  </si>
  <si>
    <t>MOVI000945865551</t>
  </si>
  <si>
    <t>MOVI000003518933</t>
  </si>
  <si>
    <t>Vencimiento de  SOATs - TAKUSHI</t>
  </si>
  <si>
    <t>Mv1  F5D-932</t>
  </si>
  <si>
    <t xml:space="preserve">NISSAN </t>
  </si>
  <si>
    <t>Entrgrega: 16/06/18 G027-0153303 y G027-0153302</t>
  </si>
  <si>
    <t>lo conversado con el Sr. Malaga con ATP</t>
  </si>
  <si>
    <r>
      <t xml:space="preserve">c/d </t>
    </r>
    <r>
      <rPr>
        <b/>
        <sz val="14"/>
        <color rgb="FFFF0000"/>
        <rFont val="Arial"/>
        <family val="2"/>
      </rPr>
      <t>600 Horas</t>
    </r>
    <r>
      <rPr>
        <sz val="12"/>
        <color rgb="FFFF0000"/>
        <rFont val="Arial"/>
        <family val="2"/>
      </rPr>
      <t xml:space="preserve">. De acuedo a </t>
    </r>
  </si>
  <si>
    <r>
      <t xml:space="preserve">(al </t>
    </r>
    <r>
      <rPr>
        <b/>
        <sz val="11"/>
        <color rgb="FFFF0000"/>
        <rFont val="Arial"/>
        <family val="2"/>
      </rPr>
      <t>09/07/2018 12:15hrs</t>
    </r>
    <r>
      <rPr>
        <sz val="11"/>
        <color rgb="FFFF0000"/>
        <rFont val="Arial"/>
        <family val="2"/>
      </rPr>
      <t>) a Unds 172, 173 y 174</t>
    </r>
  </si>
  <si>
    <t>46339198</t>
  </si>
  <si>
    <t>HOSTOS SALAZAR PEDRO ALEJANDRO</t>
  </si>
  <si>
    <t>39521272</t>
  </si>
  <si>
    <t>CORTES PEREIRA JOSE MANUEL</t>
  </si>
  <si>
    <t>30952792</t>
  </si>
  <si>
    <t>ARMAS RIVAS RAFAEL ARTURO</t>
  </si>
  <si>
    <t>18405791</t>
  </si>
  <si>
    <t>OCHOA INFANTE JOSE LUIS</t>
  </si>
  <si>
    <t>BDX-539</t>
  </si>
  <si>
    <r>
      <t xml:space="preserve">1 Hyundai </t>
    </r>
    <r>
      <rPr>
        <sz val="7"/>
        <color rgb="FFC00000"/>
        <rFont val="Arial"/>
        <family val="2"/>
      </rPr>
      <t>Plata</t>
    </r>
    <r>
      <rPr>
        <sz val="7"/>
        <rFont val="Arial"/>
        <family val="2"/>
      </rPr>
      <t xml:space="preserve"> New-Tucson</t>
    </r>
  </si>
  <si>
    <r>
      <t xml:space="preserve">1 Hyundai </t>
    </r>
    <r>
      <rPr>
        <sz val="7.5"/>
        <color rgb="FFC00000"/>
        <rFont val="Arial"/>
        <family val="2"/>
      </rPr>
      <t>Negro</t>
    </r>
    <r>
      <rPr>
        <sz val="7.5"/>
        <rFont val="Arial"/>
        <family val="2"/>
      </rPr>
      <t>Santa Fe</t>
    </r>
  </si>
  <si>
    <t>Razón Social:</t>
  </si>
  <si>
    <t>Número de R.U.C.:</t>
  </si>
  <si>
    <t>AVENIDA AV. CENTRAL MANZANA 48 LOTE 59 ZONA INDUSTRIAL PARQUE PORCINO (SECTOR 02) PERU - PROV. CONST. DEL CALLAO - PROV. CONST. DEL CALLAO - VENTANILLA</t>
  </si>
  <si>
    <t>Teléfonos:</t>
  </si>
  <si>
    <t>Ciudad en la que se inscribio:</t>
  </si>
  <si>
    <t>LIMA</t>
  </si>
  <si>
    <t>Tipo de Personería:</t>
  </si>
  <si>
    <t>Persona Juridica</t>
  </si>
  <si>
    <t>Modalidad de Empresa:</t>
  </si>
  <si>
    <t>Mercancias en general</t>
  </si>
  <si>
    <t>Estado:</t>
  </si>
  <si>
    <t>Habilitado</t>
  </si>
  <si>
    <t>Vigente Hasta:</t>
  </si>
  <si>
    <t>1523969CNG -  TRANSPORTE COMERCIAL Y SEGURO TAKUSHI S.A.C.</t>
  </si>
  <si>
    <t>*** Validado al 19/09/2018</t>
  </si>
  <si>
    <t>Ítem</t>
  </si>
  <si>
    <t>Categoría</t>
  </si>
  <si>
    <t> F9W991</t>
  </si>
  <si>
    <t> 151617952</t>
  </si>
  <si>
    <t> O4</t>
  </si>
  <si>
    <t> 8S9340NGSGLV31202</t>
  </si>
  <si>
    <t> 2016</t>
  </si>
  <si>
    <t> 30600  </t>
  </si>
  <si>
    <t> 9600   </t>
  </si>
  <si>
    <t> ANH873</t>
  </si>
  <si>
    <t> 151617951</t>
  </si>
  <si>
    <t> N3</t>
  </si>
  <si>
    <t> 3HSWYAHT1GN379896</t>
  </si>
  <si>
    <t> 2015</t>
  </si>
  <si>
    <t> 19416  </t>
  </si>
  <si>
    <t> W2U979</t>
  </si>
  <si>
    <t> 151612998</t>
  </si>
  <si>
    <t> 1001961025</t>
  </si>
  <si>
    <t> 9350   </t>
  </si>
  <si>
    <t> C0T998</t>
  </si>
  <si>
    <t> 151607718</t>
  </si>
  <si>
    <t> SRV403038</t>
  </si>
  <si>
    <t> 26900  </t>
  </si>
  <si>
    <t> 5100   </t>
  </si>
  <si>
    <t> ABE996</t>
  </si>
  <si>
    <t> 151703672</t>
  </si>
  <si>
    <t> 8S9338NPSHLV31205</t>
  </si>
  <si>
    <t> 2017</t>
  </si>
  <si>
    <t> 31600  </t>
  </si>
  <si>
    <t> 6400   </t>
  </si>
  <si>
    <t> ABE999</t>
  </si>
  <si>
    <t> 151703671</t>
  </si>
  <si>
    <t> 8S9338NPSHLV31206</t>
  </si>
  <si>
    <t> A1B846</t>
  </si>
  <si>
    <t> 151707365</t>
  </si>
  <si>
    <t> 3HSWYAHT29N132311</t>
  </si>
  <si>
    <t> 20074  </t>
  </si>
  <si>
    <t> 7200   </t>
  </si>
  <si>
    <t> F7I990</t>
  </si>
  <si>
    <t> 151707703</t>
  </si>
  <si>
    <t> 8T9CBVKT1GSG03004</t>
  </si>
  <si>
    <t> 32180  </t>
  </si>
  <si>
    <t> TCE990</t>
  </si>
  <si>
    <t> 151714876</t>
  </si>
  <si>
    <t> 8T9SPL3RDFME09010</t>
  </si>
  <si>
    <t> 33800  </t>
  </si>
  <si>
    <t> 6200   </t>
  </si>
  <si>
    <t> TCE984</t>
  </si>
  <si>
    <t> 151714875</t>
  </si>
  <si>
    <t> 8T9SPL3RDFME09009</t>
  </si>
  <si>
    <t> AEA978</t>
  </si>
  <si>
    <t> 151727804</t>
  </si>
  <si>
    <t> 8T9ES24LXHPCG5235</t>
  </si>
  <si>
    <t> AFE989</t>
  </si>
  <si>
    <t> 151811669</t>
  </si>
  <si>
    <t> 8S9338NPSHLV31213</t>
  </si>
  <si>
    <t> 32150  </t>
  </si>
  <si>
    <t> 5850   </t>
  </si>
  <si>
    <t> D1X983</t>
  </si>
  <si>
    <t> 151824284</t>
  </si>
  <si>
    <t> -</t>
  </si>
  <si>
    <t> FWC510508</t>
  </si>
  <si>
    <t> 32900  </t>
  </si>
  <si>
    <t> 7100   </t>
  </si>
  <si>
    <t> F6Q803</t>
  </si>
  <si>
    <t> 151824272</t>
  </si>
  <si>
    <t> 16710  </t>
  </si>
  <si>
    <t> F8J809</t>
  </si>
  <si>
    <t> 151824273</t>
  </si>
  <si>
    <t> 15290  </t>
  </si>
  <si>
    <t>401  C0T-998</t>
  </si>
  <si>
    <t>1504859MRP -  TRANSPORTE COMERCIAL Y SEGURO TAKUSHI S.A.C.</t>
  </si>
  <si>
    <r>
      <t xml:space="preserve">Servicio de Transporte de </t>
    </r>
    <r>
      <rPr>
        <b/>
        <sz val="11"/>
        <color rgb="FFFF0000"/>
        <rFont val="Arial"/>
        <family val="2"/>
      </rPr>
      <t>Materiales y/o Residuos Peligrosos Publico</t>
    </r>
  </si>
  <si>
    <t> T4P891</t>
  </si>
  <si>
    <t> 3AKJA6CG59DAJ9477</t>
  </si>
  <si>
    <t> 18972  </t>
  </si>
  <si>
    <t> 7890   </t>
  </si>
  <si>
    <t> T2Y821</t>
  </si>
  <si>
    <t> 3AKJA6CG79DAJ9481</t>
  </si>
  <si>
    <t> 18982  </t>
  </si>
  <si>
    <t> 7880   </t>
  </si>
  <si>
    <t> D7Z995</t>
  </si>
  <si>
    <t> 34780  </t>
  </si>
  <si>
    <t> 7220   </t>
  </si>
  <si>
    <t>Entrgrega: G027-0156678_16/10/18 G078-0054772/-/0054773_16/10/18</t>
  </si>
  <si>
    <t xml:space="preserve"> 213  C0T-998</t>
  </si>
  <si>
    <t xml:space="preserve"> 234  D4H-997</t>
  </si>
  <si>
    <t>Acogida</t>
  </si>
  <si>
    <t>Bienvenida</t>
  </si>
  <si>
    <t>Cumpleaños</t>
  </si>
  <si>
    <t>Cita:</t>
  </si>
  <si>
    <t>jefrigamerxd</t>
  </si>
  <si>
    <t>jefrixd987</t>
  </si>
  <si>
    <t>INSTAGRAM</t>
  </si>
  <si>
    <t>User</t>
  </si>
  <si>
    <t>Key</t>
  </si>
  <si>
    <t>403  AKD-987</t>
  </si>
  <si>
    <t>JOSE LUIS OCHOA INFANTE</t>
  </si>
  <si>
    <t>Cedula de identidad</t>
  </si>
  <si>
    <t>Venzuela</t>
  </si>
  <si>
    <t>Pais</t>
  </si>
  <si>
    <t>Nombres y Apellidos</t>
  </si>
  <si>
    <t>V184005791</t>
  </si>
  <si>
    <t>Celular</t>
  </si>
  <si>
    <t>950806103</t>
  </si>
  <si>
    <t>Correo Electronico</t>
  </si>
  <si>
    <t>joseluisochoa1986@gmail.com</t>
  </si>
  <si>
    <t>Observ.</t>
  </si>
  <si>
    <t>Indica que solo tiene Targjeta Andina de Migracion (NO tiene pasaporte ni Carnet de Extrangeria)</t>
  </si>
  <si>
    <t>Fecha de Inicio</t>
  </si>
  <si>
    <t>Fecha de Nacimiento</t>
  </si>
  <si>
    <t>Direccion</t>
  </si>
  <si>
    <t>Gambeta baja Mz C Lt 15 Callao</t>
  </si>
  <si>
    <t>JOSE MANUEL CORTEZ PEREIRA</t>
  </si>
  <si>
    <t>139521272</t>
  </si>
  <si>
    <t>Pasaporte</t>
  </si>
  <si>
    <t>918329219</t>
  </si>
  <si>
    <t>josema08051992@gmail.com</t>
  </si>
  <si>
    <t>RAFAEL ARTURO ARMAS RIVAS</t>
  </si>
  <si>
    <t>Ca Manantial C 01 APV Manantial S.M.P.</t>
  </si>
  <si>
    <t>Urb Portales del Aeropuerto 2 Mz D Lt 1  Callao</t>
  </si>
  <si>
    <t>130952792</t>
  </si>
  <si>
    <t>918485157</t>
  </si>
  <si>
    <t>arturito19971308@hotmail.com</t>
  </si>
  <si>
    <t>Ninguna</t>
  </si>
  <si>
    <t>VENCIDO</t>
  </si>
  <si>
    <t>Entrega: G027-0157744_19/11 G027-0157741/0157742/0157743  16Ars 16 Llnts</t>
  </si>
  <si>
    <t>CASAPIA GARCIA WALTER  -  29/11/1953</t>
  </si>
  <si>
    <t>Aceite p corona 85W140</t>
  </si>
  <si>
    <t>Aceite p caja SAE 50</t>
  </si>
  <si>
    <t>Lubcom</t>
  </si>
  <si>
    <t>Otro proveedor</t>
  </si>
  <si>
    <t>Precio sin IGV en US$ Dolares</t>
  </si>
  <si>
    <t xml:space="preserve">     Producto requerido</t>
  </si>
  <si>
    <t xml:space="preserve">  difer x balde</t>
  </si>
  <si>
    <t>Bono por Exced Meta Trazada</t>
  </si>
  <si>
    <t>Bonif Por Produccion</t>
  </si>
  <si>
    <t>Año</t>
  </si>
  <si>
    <t>Bono por Eficiencias Logradas</t>
  </si>
  <si>
    <t xml:space="preserve">Erika Ch., </t>
  </si>
  <si>
    <t>Maryori H.</t>
  </si>
  <si>
    <t>Hyundai Negro Santa Fe</t>
  </si>
  <si>
    <t>Entrega: G027-0159579, G027-0159580, G027-0159581 8Ars 10Llnts</t>
  </si>
  <si>
    <t>alfredot@transcosta.com.pe</t>
  </si>
  <si>
    <t>eduardom@transcosta.com.pe</t>
  </si>
  <si>
    <t>fredt@transcosta.com.pe</t>
  </si>
  <si>
    <t>nicolasb@transcosta.com.pe</t>
  </si>
  <si>
    <t>ubelserm@transcosta.com.pe</t>
  </si>
  <si>
    <t>correos de soporte</t>
  </si>
  <si>
    <t>29/01/2019 hr 10:01</t>
  </si>
  <si>
    <t>Carlos Avila</t>
  </si>
  <si>
    <t>D4I-992    332</t>
  </si>
  <si>
    <t>Boleta Informativa   SUNARP</t>
  </si>
  <si>
    <t>Vigencia de poderes: CESAR QUISPE RAMOS</t>
  </si>
  <si>
    <t>D7A-999   217</t>
  </si>
  <si>
    <t>Denuncia perdida de plaqueta de chasis</t>
  </si>
  <si>
    <t xml:space="preserve">   SUNARP</t>
  </si>
  <si>
    <t>Gestiones al 12/02/2019  -  Jorge Pacotaype N.</t>
  </si>
  <si>
    <t>1523969CNG -  TRANSPORTE COMERCIAL Y SEGURO TAKUSHI S.A.C.</t>
  </si>
  <si>
    <t>Consulta al 12 de Nov del 2018</t>
  </si>
  <si>
    <t>H</t>
  </si>
  <si>
    <t> F5T774</t>
  </si>
  <si>
    <t> 151839743</t>
  </si>
  <si>
    <t> 16780  </t>
  </si>
  <si>
    <t> 151839731</t>
  </si>
  <si>
    <t> F1Q805</t>
  </si>
  <si>
    <t> 151839735</t>
  </si>
  <si>
    <t> 18370  </t>
  </si>
  <si>
    <t> F7O758</t>
  </si>
  <si>
    <t> 151839736</t>
  </si>
  <si>
    <t> 16370  </t>
  </si>
  <si>
    <t> F6P937</t>
  </si>
  <si>
    <t> 151839737</t>
  </si>
  <si>
    <t> F6Q802</t>
  </si>
  <si>
    <t> C3D881</t>
  </si>
  <si>
    <t> 151839768</t>
  </si>
  <si>
    <t> F6P936</t>
  </si>
  <si>
    <t> 151839769</t>
  </si>
  <si>
    <t> 18500  </t>
  </si>
  <si>
    <t> F6Q801</t>
  </si>
  <si>
    <t> 151839738</t>
  </si>
  <si>
    <t> 17750  </t>
  </si>
  <si>
    <t> 7250   </t>
  </si>
  <si>
    <t> F6P935</t>
  </si>
  <si>
    <t> 151839739</t>
  </si>
  <si>
    <t> 15440  </t>
  </si>
  <si>
    <t> F3Q893</t>
  </si>
  <si>
    <t> 151839770</t>
  </si>
  <si>
    <t> 15160  </t>
  </si>
  <si>
    <t> 151839732</t>
  </si>
  <si>
    <t> F7O854</t>
  </si>
  <si>
    <t> 151839771</t>
  </si>
  <si>
    <t> 14820  </t>
  </si>
  <si>
    <t> F5T773</t>
  </si>
  <si>
    <t> 151839772</t>
  </si>
  <si>
    <t> 15010  </t>
  </si>
  <si>
    <t> F4T840</t>
  </si>
  <si>
    <t> 151839773</t>
  </si>
  <si>
    <t> 15411  </t>
  </si>
  <si>
    <t> 9589   </t>
  </si>
  <si>
    <t> F5S708</t>
  </si>
  <si>
    <t> 151839744</t>
  </si>
  <si>
    <t> 15040  </t>
  </si>
  <si>
    <t> F6Q807</t>
  </si>
  <si>
    <t> 151839774</t>
  </si>
  <si>
    <t> 16150  </t>
  </si>
  <si>
    <t> F0D935</t>
  </si>
  <si>
    <t> 151839765</t>
  </si>
  <si>
    <t> F7O759</t>
  </si>
  <si>
    <t> 151839766</t>
  </si>
  <si>
    <t> F2R709</t>
  </si>
  <si>
    <t> 151839767</t>
  </si>
  <si>
    <t> 14650  </t>
  </si>
  <si>
    <t> F1R851</t>
  </si>
  <si>
    <t> 151839734</t>
  </si>
  <si>
    <t> 14960  </t>
  </si>
  <si>
    <t> F2R880</t>
  </si>
  <si>
    <t> 151839775</t>
  </si>
  <si>
    <t> F3P863</t>
  </si>
  <si>
    <t> 151839745</t>
  </si>
  <si>
    <t> F4T845</t>
  </si>
  <si>
    <t> 151839746</t>
  </si>
  <si>
    <t> 15180  </t>
  </si>
  <si>
    <t> F5T772</t>
  </si>
  <si>
    <t> 151839740</t>
  </si>
  <si>
    <t> 14860  </t>
  </si>
  <si>
    <t> 151840234</t>
  </si>
  <si>
    <t> 151840239</t>
  </si>
  <si>
    <t> D6F972</t>
  </si>
  <si>
    <t> 151839747</t>
  </si>
  <si>
    <t> SRV403012</t>
  </si>
  <si>
    <t> D8R970</t>
  </si>
  <si>
    <t> 151839741</t>
  </si>
  <si>
    <t> C9R987</t>
  </si>
  <si>
    <t> 151839748</t>
  </si>
  <si>
    <t> SRV403035</t>
  </si>
  <si>
    <t> D3G994</t>
  </si>
  <si>
    <t> 151839742</t>
  </si>
  <si>
    <t> SRV403124</t>
  </si>
  <si>
    <t> C0X974</t>
  </si>
  <si>
    <t> 151839733</t>
  </si>
  <si>
    <t> C0T999</t>
  </si>
  <si>
    <t> 151839749</t>
  </si>
  <si>
    <t> SRV303248</t>
  </si>
  <si>
    <t> D1X982</t>
  </si>
  <si>
    <t> 151839750</t>
  </si>
  <si>
    <t> SRV303026</t>
  </si>
  <si>
    <t> D8R971</t>
  </si>
  <si>
    <t> 151839761</t>
  </si>
  <si>
    <t> SR471983897</t>
  </si>
  <si>
    <t> B1Y979</t>
  </si>
  <si>
    <t> 151839751</t>
  </si>
  <si>
    <t> B1Y980</t>
  </si>
  <si>
    <t> 151839762</t>
  </si>
  <si>
    <t> D7Z975</t>
  </si>
  <si>
    <t> 151839752</t>
  </si>
  <si>
    <t> D4H997</t>
  </si>
  <si>
    <t> 151839753</t>
  </si>
  <si>
    <t> 151840240</t>
  </si>
  <si>
    <t> 151840235</t>
  </si>
  <si>
    <t> D1Y990</t>
  </si>
  <si>
    <t> 151839754</t>
  </si>
  <si>
    <t> 33300  </t>
  </si>
  <si>
    <t> 151839730</t>
  </si>
  <si>
    <t> D7C970</t>
  </si>
  <si>
    <t> 151839755</t>
  </si>
  <si>
    <t> FWD750207</t>
  </si>
  <si>
    <t> 35420  </t>
  </si>
  <si>
    <t> 6580   </t>
  </si>
  <si>
    <t> D1Y991</t>
  </si>
  <si>
    <t> 151839756</t>
  </si>
  <si>
    <t> FWD750206</t>
  </si>
  <si>
    <t> 33280  </t>
  </si>
  <si>
    <t> 7380   </t>
  </si>
  <si>
    <t> D4I992</t>
  </si>
  <si>
    <t> 151839757</t>
  </si>
  <si>
    <t> 28570  </t>
  </si>
  <si>
    <t> 7430   </t>
  </si>
  <si>
    <t> D5F996</t>
  </si>
  <si>
    <t> 151839758</t>
  </si>
  <si>
    <t> H026</t>
  </si>
  <si>
    <t> D6E994</t>
  </si>
  <si>
    <t> 151839763</t>
  </si>
  <si>
    <t> H027</t>
  </si>
  <si>
    <t> 32000  </t>
  </si>
  <si>
    <t> 6450   </t>
  </si>
  <si>
    <t> D8S980</t>
  </si>
  <si>
    <t> 151839759</t>
  </si>
  <si>
    <t> H030</t>
  </si>
  <si>
    <t> 41650  </t>
  </si>
  <si>
    <t> 6350   </t>
  </si>
  <si>
    <t> B1Y978</t>
  </si>
  <si>
    <t> 151839760</t>
  </si>
  <si>
    <t> H032</t>
  </si>
  <si>
    <t> D1X984</t>
  </si>
  <si>
    <t> 151839764</t>
  </si>
  <si>
    <t> SRT25269</t>
  </si>
  <si>
    <t> 30730  </t>
  </si>
  <si>
    <t> 7270   </t>
  </si>
  <si>
    <t> 151840236</t>
  </si>
  <si>
    <t> 151839727</t>
  </si>
  <si>
    <t> 151840237</t>
  </si>
  <si>
    <t> 151839728</t>
  </si>
  <si>
    <t> 151840241</t>
  </si>
  <si>
    <t> 151839729</t>
  </si>
  <si>
    <t> 151840238</t>
  </si>
  <si>
    <t> 151839726</t>
  </si>
  <si>
    <t> 25850  </t>
  </si>
  <si>
    <t> 6150   </t>
  </si>
  <si>
    <t> 151841035</t>
  </si>
  <si>
    <t>AKD987</t>
  </si>
  <si>
    <t xml:space="preserve"> 8T9WECVLMJZC09649</t>
  </si>
  <si>
    <t>R</t>
  </si>
  <si>
    <r>
      <rPr>
        <sz val="8"/>
        <color rgb="FFFF0000"/>
        <rFont val="Calibri"/>
        <family val="2"/>
        <scheme val="minor"/>
      </rPr>
      <t xml:space="preserve">* </t>
    </r>
    <r>
      <rPr>
        <b/>
        <u/>
        <sz val="8"/>
        <color rgb="FFFF0000"/>
        <rFont val="Calibri"/>
        <family val="2"/>
        <scheme val="minor"/>
      </rPr>
      <t>No olvidar</t>
    </r>
    <r>
      <rPr>
        <sz val="8"/>
        <rFont val="Calibri"/>
        <family val="2"/>
        <scheme val="minor"/>
      </rPr>
      <t xml:space="preserve"> llevar:  </t>
    </r>
    <r>
      <rPr>
        <b/>
        <sz val="8"/>
        <rFont val="Calibri"/>
        <family val="2"/>
        <scheme val="minor"/>
      </rPr>
      <t>R</t>
    </r>
    <r>
      <rPr>
        <sz val="8"/>
        <rFont val="Calibri"/>
        <family val="2"/>
        <scheme val="minor"/>
      </rPr>
      <t xml:space="preserve">osario, </t>
    </r>
    <r>
      <rPr>
        <b/>
        <u/>
        <sz val="8"/>
        <color rgb="FFFF0000"/>
        <rFont val="Calibri"/>
        <family val="2"/>
        <scheme val="minor"/>
      </rPr>
      <t>Biblia</t>
    </r>
    <r>
      <rPr>
        <sz val="8"/>
        <rFont val="Calibri"/>
        <family val="2"/>
        <scheme val="minor"/>
      </rPr>
      <t xml:space="preserve">, </t>
    </r>
    <r>
      <rPr>
        <b/>
        <sz val="8"/>
        <rFont val="Calibri"/>
        <family val="2"/>
        <scheme val="minor"/>
      </rPr>
      <t>c</t>
    </r>
    <r>
      <rPr>
        <sz val="8"/>
        <rFont val="Calibri"/>
        <family val="2"/>
        <scheme val="minor"/>
      </rPr>
      <t xml:space="preserve">uaderno y </t>
    </r>
    <r>
      <rPr>
        <b/>
        <sz val="8"/>
        <rFont val="Calibri"/>
        <family val="2"/>
        <scheme val="minor"/>
      </rPr>
      <t>l</t>
    </r>
    <r>
      <rPr>
        <sz val="8"/>
        <rFont val="Calibri"/>
        <family val="2"/>
        <scheme val="minor"/>
      </rPr>
      <t>apicero</t>
    </r>
  </si>
  <si>
    <t>juliooliveraapaza@gmail.com</t>
  </si>
  <si>
    <t>Telefono</t>
  </si>
  <si>
    <t>Cesitar_x100pre_tu_amor@hotmail.com</t>
  </si>
  <si>
    <t>Juan C Condor</t>
  </si>
  <si>
    <t>condormezajuan@hotmail.com</t>
  </si>
  <si>
    <t>edwrdmarmoles@gmail.com</t>
  </si>
  <si>
    <t>233 D7Z-975</t>
  </si>
  <si>
    <t>A7R432</t>
  </si>
  <si>
    <t>1 HYUDAI VERACRUZ 3.0 V6 CRDI</t>
  </si>
  <si>
    <t>Walter Vargas Huaman</t>
  </si>
  <si>
    <t>vrgashuamanwalter@hotmail.com</t>
  </si>
  <si>
    <t>12R22.5 SPORTRAK 18PR 152/149k SP398 DELANTERA</t>
  </si>
  <si>
    <t>Nueva</t>
  </si>
  <si>
    <t>16.5Mm</t>
  </si>
  <si>
    <t>Siniestrada</t>
  </si>
  <si>
    <t>12Mm</t>
  </si>
  <si>
    <t>Us$ (Dolares)</t>
  </si>
  <si>
    <t>Cod: 290217</t>
  </si>
  <si>
    <t>Costo Aprox:</t>
  </si>
  <si>
    <t>sin pago</t>
  </si>
  <si>
    <t>404  ALM-980</t>
  </si>
  <si>
    <t>pendiente</t>
  </si>
  <si>
    <t>al 30/04</t>
  </si>
  <si>
    <t>AHA977</t>
  </si>
  <si>
    <t>AHR993</t>
  </si>
  <si>
    <t>Fred Tamara Chamorro</t>
  </si>
  <si>
    <t>fredtamara@hotmail.com</t>
  </si>
  <si>
    <t>Pedro Hostos Salazar</t>
  </si>
  <si>
    <t>alexhostos1976@outlook.com</t>
  </si>
  <si>
    <t>Eduardo Marmoles Urrea</t>
  </si>
  <si>
    <t>Juan C Diaz Bilbao</t>
  </si>
  <si>
    <t>juancarlosdiaz@hotmail.com</t>
  </si>
  <si>
    <t>Emmanuel Laureano Yapias</t>
  </si>
  <si>
    <t>emmanuelyapias@gmail.com</t>
  </si>
  <si>
    <t>Guillermo Paredes Luque</t>
  </si>
  <si>
    <t>gparedes@hotmail.com</t>
  </si>
  <si>
    <t>Nacimiento</t>
  </si>
  <si>
    <t>Año 2019</t>
  </si>
  <si>
    <t>TELEC C 00944996404</t>
  </si>
  <si>
    <t>TELEL L 0004435581</t>
  </si>
  <si>
    <t xml:space="preserve">Jose Luis Ochoa Infante </t>
  </si>
  <si>
    <t>Yonatan Javier Diaz Bilbao</t>
  </si>
  <si>
    <t>Fecha de Ingr-Planillas :</t>
  </si>
  <si>
    <t xml:space="preserve">          D.N.I.</t>
  </si>
  <si>
    <t>Mz D Lt 3 Av el Bierzo - Villa Fuerte - Ventanilla</t>
  </si>
  <si>
    <r>
      <rPr>
        <sz val="8"/>
        <rFont val="Arial"/>
        <family val="2"/>
      </rPr>
      <t>Correo:</t>
    </r>
    <r>
      <rPr>
        <sz val="10"/>
        <rFont val="Arial"/>
        <family val="2"/>
      </rPr>
      <t xml:space="preserve"> </t>
    </r>
    <r>
      <rPr>
        <u/>
        <sz val="10"/>
        <color indexed="12"/>
        <rFont val="Arial"/>
        <family val="2"/>
      </rPr>
      <t>yonatandiazbilbao@hotmail.com</t>
    </r>
  </si>
  <si>
    <t xml:space="preserve">Nombre : </t>
  </si>
  <si>
    <t>( Chofer a destajo )</t>
  </si>
  <si>
    <t>( Auxiliar Mecanico )</t>
  </si>
  <si>
    <t>P.T.P</t>
  </si>
  <si>
    <r>
      <rPr>
        <sz val="8"/>
        <rFont val="Arial"/>
        <family val="2"/>
      </rPr>
      <t>Correo:</t>
    </r>
    <r>
      <rPr>
        <sz val="10"/>
        <rFont val="Arial"/>
        <family val="2"/>
      </rPr>
      <t xml:space="preserve"> </t>
    </r>
    <r>
      <rPr>
        <u/>
        <sz val="10"/>
        <color indexed="12"/>
        <rFont val="Arial"/>
        <family val="2"/>
      </rPr>
      <t>joseluisochoa1986@gmail.com</t>
    </r>
  </si>
  <si>
    <t>002208026</t>
  </si>
  <si>
    <t>Gambeta Baja Lt 15 Mz C AAHH Gambeta baja - Callao</t>
  </si>
  <si>
    <t>A3C-434 TOYOTA Corolla Gris</t>
  </si>
  <si>
    <t xml:space="preserve">Entrega: 31/05/19,  12Ars 12LlntsMix y 06LlntsDirecc </t>
  </si>
  <si>
    <t>5jsdUK</t>
  </si>
  <si>
    <t>Carsync Fleet</t>
  </si>
  <si>
    <t>Entrega: 17/06/19,  G027-0164113
12LlnsMx 12Aros</t>
  </si>
  <si>
    <t>Mv2 F5D-932</t>
  </si>
  <si>
    <t>CesarQ@hotmail.com</t>
  </si>
  <si>
    <t>Cq21515256L2</t>
  </si>
  <si>
    <t>MOVI000007762500</t>
  </si>
  <si>
    <t>No Hay cumpleaños esta Semana  . . .</t>
  </si>
  <si>
    <t>Entrega: 01/08/19,  G027-0165474
12LlnsMix 12Aros 8LlntsTrc</t>
  </si>
  <si>
    <t>( Enllantador )</t>
  </si>
  <si>
    <r>
      <rPr>
        <sz val="8"/>
        <rFont val="Arial"/>
        <family val="2"/>
      </rPr>
      <t>Correo:</t>
    </r>
    <r>
      <rPr>
        <sz val="10"/>
        <rFont val="Arial"/>
        <family val="2"/>
      </rPr>
      <t xml:space="preserve"> jairomirabal3975@gmail.com</t>
    </r>
  </si>
  <si>
    <t>Calle principal Mz H Lt 01 nro 24 Urb Tupac Amaru - Callao</t>
  </si>
  <si>
    <t>JAIRO YOHAN MIRABAL</t>
  </si>
  <si>
    <t>175  ALW-703</t>
  </si>
  <si>
    <r>
      <rPr>
        <b/>
        <sz val="14"/>
        <color rgb="FFFF0000"/>
        <rFont val="Arial"/>
        <family val="2"/>
      </rPr>
      <t>175</t>
    </r>
    <r>
      <rPr>
        <b/>
        <sz val="12"/>
        <color rgb="FFFF0000"/>
        <rFont val="Arial"/>
        <family val="2"/>
      </rPr>
      <t xml:space="preserve"> </t>
    </r>
    <r>
      <rPr>
        <sz val="12"/>
        <rFont val="Arial"/>
        <family val="2"/>
      </rPr>
      <t xml:space="preserve"> </t>
    </r>
    <r>
      <rPr>
        <sz val="10"/>
        <rFont val="Arial"/>
        <family val="2"/>
      </rPr>
      <t>ALW-703</t>
    </r>
  </si>
  <si>
    <t>ALW-703</t>
  </si>
  <si>
    <t>Llegada a TK</t>
  </si>
  <si>
    <t xml:space="preserve">Entrega: 23/09/19,  G027-0167152 y G078-0063128
08 LlntsTracc 06LlnsDirecc 04ArosArtill </t>
  </si>
  <si>
    <t>16975743</t>
  </si>
  <si>
    <t>Mirabal Xxx Jairo Yohan</t>
  </si>
  <si>
    <t>ENLLANTADOR (Vnz)</t>
  </si>
  <si>
    <t>AUX MECANICO (Vnz)</t>
  </si>
  <si>
    <t>Marmoles Urrea Keiver Leonardo</t>
  </si>
  <si>
    <t>48326495</t>
  </si>
  <si>
    <t>AUX OPERACIONES (Vnz)</t>
  </si>
  <si>
    <t>48035731</t>
  </si>
  <si>
    <t>Alejos Arellano Pier Andre</t>
  </si>
  <si>
    <t xml:space="preserve">AUX MECANICO </t>
  </si>
  <si>
    <t>03910860</t>
  </si>
  <si>
    <t>Colina Nadales Angel de Jesus</t>
  </si>
  <si>
    <t>AUX ENLLANTE</t>
  </si>
  <si>
    <t xml:space="preserve"> Ministerio de Acogida</t>
  </si>
  <si>
    <t>MARGIORY DUGARTE DUGARTE</t>
  </si>
  <si>
    <r>
      <rPr>
        <sz val="8"/>
        <rFont val="Arial"/>
        <family val="2"/>
      </rPr>
      <t>Correo:</t>
    </r>
    <r>
      <rPr>
        <sz val="10"/>
        <rFont val="Arial"/>
        <family val="2"/>
      </rPr>
      <t xml:space="preserve"> margiorydd@gmail.com</t>
    </r>
  </si>
  <si>
    <t>´088106665</t>
  </si>
  <si>
    <t>´113007343</t>
  </si>
  <si>
    <t>ROGER ALEXANDER CORTEZ CAICUTO</t>
  </si>
  <si>
    <r>
      <rPr>
        <sz val="8"/>
        <rFont val="Arial"/>
        <family val="2"/>
      </rPr>
      <t>Correo:</t>
    </r>
    <r>
      <rPr>
        <sz val="10"/>
        <rFont val="Arial"/>
        <family val="2"/>
      </rPr>
      <t xml:space="preserve"> rogercortez2018@gmail.com</t>
    </r>
  </si>
  <si>
    <t>Mz 1 Lt 7A 1ra Etapa de Rosa Luz - Puente Piedra - Lima</t>
  </si>
  <si>
    <t>Calle PS c Mz B Lt 18 AH JUAN PABLO II - Callao - Callao</t>
  </si>
  <si>
    <t>GOODYEAR</t>
  </si>
  <si>
    <t>HANKOOK</t>
  </si>
  <si>
    <t>MAXXISS</t>
  </si>
  <si>
    <t>EFFICIENTGRIP SUV    H100</t>
  </si>
  <si>
    <t xml:space="preserve">OPTIMO H426    </t>
  </si>
  <si>
    <t>BRIDGESTONE</t>
  </si>
  <si>
    <t>ECOPIA H/L 422   PLUS</t>
  </si>
  <si>
    <t>CV01</t>
  </si>
  <si>
    <t>TC</t>
  </si>
  <si>
    <t xml:space="preserve">      Modelo                   .</t>
  </si>
  <si>
    <t>(UD$) Inc IGV</t>
  </si>
  <si>
    <t>(S/) Inc IGV</t>
  </si>
  <si>
    <t xml:space="preserve"> ** las incluiriamos en el paquete de 20Aros(p camion) y 4 Llantas</t>
  </si>
  <si>
    <t xml:space="preserve">   Llanta 235/55R18 para cmta Kia Sportage (preios x unidad)         30/10/19</t>
  </si>
  <si>
    <t xml:space="preserve">Sr. Jorge esta seria la propuesta(con descuento) de Comecio &amp; Cia. para incluir las llantas de la Kia roja </t>
  </si>
  <si>
    <t xml:space="preserve"> Super Single (445/65R22.5 nueva medida) a 4 letras d 30, 60, 90 y 120dias</t>
  </si>
  <si>
    <t xml:space="preserve">  * Las MAXXIS - CV01, son las unicas que tiene Comercio &amp; Cia (con descuento)</t>
  </si>
  <si>
    <t>ERVIS AUGUSTO ARTEAGA FERNANDEZ</t>
  </si>
  <si>
    <t>Av Carlos Izaguirre Mz I Lt 4 Urb Virgen de Fatima - S.M.P.</t>
  </si>
  <si>
    <t>068892836</t>
  </si>
  <si>
    <t xml:space="preserve">Entrega: 04/11/19,  G027-0168504 y G020-024???
04 Llnts445/65r22. 04Llns235/55R18H 20ArosArtill </t>
  </si>
  <si>
    <r>
      <t xml:space="preserve">  c/d </t>
    </r>
    <r>
      <rPr>
        <b/>
        <sz val="10"/>
        <color rgb="FFFF0066"/>
        <rFont val="Arial"/>
        <family val="2"/>
      </rPr>
      <t>8,500 klms</t>
    </r>
    <r>
      <rPr>
        <sz val="10"/>
        <color rgb="FFFF0066"/>
        <rFont val="Arial"/>
        <family val="2"/>
      </rPr>
      <t xml:space="preserve">. De acuedo a </t>
    </r>
  </si>
  <si>
    <t>01-311-6000</t>
  </si>
  <si>
    <t>Willian Zapata</t>
  </si>
  <si>
    <t>RUC 20517131769</t>
  </si>
  <si>
    <t>INMOBILIARIA Y CONSTRUCTORA LLACOCCHE SAC</t>
  </si>
  <si>
    <t>AV. SAENZ PEÑA NRO. 284 INT. 503 SAENZ PEÑA (COSTADO DE SUNAT) PROV. CONST. DEL CALLAO - PROV. CONST. DEL CALLAO - CALLAO</t>
  </si>
  <si>
    <t>AV. CENTRAL SECTOR 2 MZA. 48 LOTE. 59 Z.I. PARQUE PORCINO PROV. CONST. DEL CALLAO - PROV. CONST. DEL CALLAO - VENTANILLA</t>
  </si>
  <si>
    <t>8610261CRSRE005</t>
  </si>
  <si>
    <t>CARRASCO SERRATO, EDU</t>
  </si>
  <si>
    <t>D.N.I.:</t>
  </si>
  <si>
    <t>Coop Viv La Sagrada Familia Mz i Lt 15   S.J.L. - LIMA</t>
  </si>
  <si>
    <t>617091ECSRR8</t>
  </si>
  <si>
    <t>ESSALUD</t>
  </si>
  <si>
    <t>Integra Mixta/Saldo</t>
  </si>
  <si>
    <t>PAREDES LUQUE, MELQUIADES</t>
  </si>
  <si>
    <t>6912101PELUM007</t>
  </si>
  <si>
    <t>555451MPLEU4</t>
  </si>
  <si>
    <t>Profuturo Flujo</t>
  </si>
  <si>
    <t>Gambeta Baja Oeste Mz H  Lt 16  Callao</t>
  </si>
  <si>
    <t>Carla Chavez</t>
  </si>
  <si>
    <t xml:space="preserve"> 7 dias</t>
  </si>
  <si>
    <t>cod  2019467623</t>
  </si>
  <si>
    <t>max</t>
  </si>
  <si>
    <t>plazo</t>
  </si>
  <si>
    <t>cancelacion ..  , . . .</t>
  </si>
  <si>
    <t>Nataly Paucar</t>
  </si>
  <si>
    <t>02029176</t>
  </si>
  <si>
    <t>Estado civil</t>
  </si>
  <si>
    <t>Nacionalidad</t>
  </si>
  <si>
    <t>Peruano</t>
  </si>
  <si>
    <r>
      <rPr>
        <u/>
        <sz val="10"/>
        <rFont val="Arial"/>
        <family val="2"/>
      </rPr>
      <t xml:space="preserve">  Entronizacion: </t>
    </r>
    <r>
      <rPr>
        <b/>
        <u/>
        <sz val="10"/>
        <color rgb="FF0000FF"/>
        <rFont val="Arial"/>
        <family val="2"/>
      </rPr>
      <t>Cesar Q.</t>
    </r>
    <r>
      <rPr>
        <sz val="10"/>
        <rFont val="Arial"/>
        <family val="2"/>
      </rPr>
      <t xml:space="preserve">
  </t>
    </r>
    <r>
      <rPr>
        <u/>
        <sz val="10"/>
        <rFont val="Arial"/>
        <family val="2"/>
      </rPr>
      <t xml:space="preserve">Oracion x Predicador: </t>
    </r>
    <r>
      <rPr>
        <b/>
        <u/>
        <sz val="10"/>
        <color rgb="FF0000FF"/>
        <rFont val="Arial"/>
        <family val="2"/>
      </rPr>
      <t xml:space="preserve">Elizabeth S. </t>
    </r>
    <r>
      <rPr>
        <u/>
        <sz val="10"/>
        <rFont val="Arial"/>
        <family val="2"/>
      </rPr>
      <t xml:space="preserve">
  Ofrendas: </t>
    </r>
    <r>
      <rPr>
        <b/>
        <sz val="10"/>
        <color rgb="FF0000FF"/>
        <rFont val="Arial"/>
        <family val="2"/>
      </rPr>
      <t>Maryori H.</t>
    </r>
    <r>
      <rPr>
        <sz val="10"/>
        <rFont val="Arial"/>
        <family val="2"/>
      </rPr>
      <t xml:space="preserve">
  </t>
    </r>
    <r>
      <rPr>
        <u/>
        <sz val="10"/>
        <rFont val="Arial"/>
        <family val="2"/>
      </rPr>
      <t xml:space="preserve">Reserva: </t>
    </r>
    <r>
      <rPr>
        <b/>
        <sz val="10"/>
        <color rgb="FF0000FF"/>
        <rFont val="Arial"/>
        <family val="2"/>
      </rPr>
      <t>Erika Ch.</t>
    </r>
  </si>
  <si>
    <t>Venezolano</t>
  </si>
  <si>
    <t>( asistente de logistica )</t>
  </si>
  <si>
    <t>KEIVER LEONARDO MARMOLES URREA</t>
  </si>
  <si>
    <t>148326495</t>
  </si>
  <si>
    <t>Jr. Chasquitambo 476 int 1111 piso 3 urb Pq Naranjal los Olivos</t>
  </si>
  <si>
    <r>
      <rPr>
        <sz val="8"/>
        <color rgb="FFC00000"/>
        <rFont val="Arial"/>
        <family val="2"/>
      </rPr>
      <t>Correo:</t>
    </r>
    <r>
      <rPr>
        <sz val="10"/>
        <color rgb="FFC00000"/>
        <rFont val="Arial"/>
        <family val="2"/>
      </rPr>
      <t xml:space="preserve"> chinoarteaga0716@gmail.com</t>
    </r>
  </si>
  <si>
    <t>cod  2019486806</t>
  </si>
  <si>
    <t>Xiomara Carpena</t>
  </si>
  <si>
    <r>
      <rPr>
        <b/>
        <sz val="9"/>
        <color rgb="FF0000FF"/>
        <rFont val="Arial"/>
        <family val="2"/>
      </rPr>
      <t xml:space="preserve">Bonific Por Produccion </t>
    </r>
    <r>
      <rPr>
        <sz val="9"/>
        <color rgb="FF0000FF"/>
        <rFont val="Arial"/>
        <family val="2"/>
      </rPr>
      <t xml:space="preserve"> </t>
    </r>
    <r>
      <rPr>
        <sz val="8"/>
        <color rgb="FF0000FF"/>
        <rFont val="Arial"/>
        <family val="2"/>
      </rPr>
      <t>[Cod: 2219]</t>
    </r>
  </si>
  <si>
    <t>Elizabeth S.</t>
  </si>
  <si>
    <t>Carta a los Romanos, 1 - Bíblia Católica Online</t>
  </si>
  <si>
    <t>Leia mais em: https://www.bibliacatolica.com.br/biblia-latinoamericana/carta-a-los-romanos/</t>
  </si>
  <si>
    <r>
      <t>Nombre</t>
    </r>
    <r>
      <rPr>
        <i/>
        <sz val="10"/>
        <color rgb="FFFF0000"/>
        <rFont val="Arial"/>
        <family val="2"/>
      </rPr>
      <t xml:space="preserve"> de </t>
    </r>
    <r>
      <rPr>
        <b/>
        <i/>
        <sz val="10"/>
        <color rgb="FFFF0000"/>
        <rFont val="Arial"/>
        <family val="2"/>
      </rPr>
      <t>concepto</t>
    </r>
    <r>
      <rPr>
        <i/>
        <sz val="8"/>
        <color rgb="FFFF0000"/>
        <rFont val="Arial"/>
        <family val="2"/>
      </rPr>
      <t xml:space="preserve"> </t>
    </r>
    <r>
      <rPr>
        <sz val="8"/>
        <color rgb="FFFF0000"/>
        <rFont val="Arial"/>
        <family val="2"/>
      </rPr>
      <t>[Cod 2219]</t>
    </r>
  </si>
  <si>
    <t>Elizabeth S.. Cesar Q.</t>
  </si>
  <si>
    <r>
      <rPr>
        <i/>
        <sz val="10"/>
        <color rgb="FFCC0000"/>
        <rFont val="Arial"/>
        <family val="2"/>
      </rPr>
      <t xml:space="preserve">Oracion de SERVICIO  </t>
    </r>
    <r>
      <rPr>
        <b/>
        <i/>
        <sz val="10"/>
        <color rgb="FFCC0000"/>
        <rFont val="Arial"/>
        <family val="2"/>
      </rPr>
      <t xml:space="preserve"> Sab  18-Ene</t>
    </r>
  </si>
  <si>
    <r>
      <rPr>
        <u/>
        <sz val="10"/>
        <rFont val="Arial"/>
        <family val="2"/>
      </rPr>
      <t xml:space="preserve">  Entronizacion: </t>
    </r>
    <r>
      <rPr>
        <b/>
        <u/>
        <sz val="10"/>
        <color rgb="FF0000FF"/>
        <rFont val="Arial"/>
        <family val="2"/>
      </rPr>
      <t>Elizabeth S.</t>
    </r>
    <r>
      <rPr>
        <sz val="10"/>
        <rFont val="Arial"/>
        <family val="2"/>
      </rPr>
      <t xml:space="preserve">
  </t>
    </r>
    <r>
      <rPr>
        <u/>
        <sz val="10"/>
        <rFont val="Arial"/>
        <family val="2"/>
      </rPr>
      <t xml:space="preserve">Oracion x Predicador: </t>
    </r>
    <r>
      <rPr>
        <b/>
        <u/>
        <sz val="10"/>
        <color rgb="FF0000FF"/>
        <rFont val="Arial"/>
        <family val="2"/>
      </rPr>
      <t xml:space="preserve">Maryori H. </t>
    </r>
    <r>
      <rPr>
        <u/>
        <sz val="10"/>
        <rFont val="Arial"/>
        <family val="2"/>
      </rPr>
      <t xml:space="preserve">
  Ofrendas: </t>
    </r>
    <r>
      <rPr>
        <sz val="10"/>
        <color rgb="FF00B0F0"/>
        <rFont val="Arial"/>
        <family val="2"/>
      </rPr>
      <t>Asamblea.</t>
    </r>
    <r>
      <rPr>
        <sz val="10"/>
        <rFont val="Arial"/>
        <family val="2"/>
      </rPr>
      <t xml:space="preserve">
  </t>
    </r>
    <r>
      <rPr>
        <u/>
        <sz val="10"/>
        <rFont val="Arial"/>
        <family val="2"/>
      </rPr>
      <t xml:space="preserve">Reserva: </t>
    </r>
    <r>
      <rPr>
        <b/>
        <sz val="10"/>
        <color rgb="FF0000FF"/>
        <rFont val="Arial"/>
        <family val="2"/>
      </rPr>
      <t>Cesar Q.</t>
    </r>
  </si>
  <si>
    <t>238  ANO-979</t>
  </si>
  <si>
    <t xml:space="preserve">  5ta.</t>
  </si>
  <si>
    <r>
      <rPr>
        <sz val="8"/>
        <color rgb="FF007E00"/>
        <rFont val="Arial"/>
        <family val="2"/>
      </rPr>
      <t>Correo:</t>
    </r>
    <r>
      <rPr>
        <sz val="10"/>
        <color rgb="FF007E00"/>
        <rFont val="Arial"/>
        <family val="2"/>
      </rPr>
      <t xml:space="preserve"> educarrasco86@gmail.com</t>
    </r>
  </si>
  <si>
    <r>
      <rPr>
        <sz val="8"/>
        <color rgb="FF007E00"/>
        <rFont val="Arial"/>
        <family val="2"/>
      </rPr>
      <t>Correo:</t>
    </r>
    <r>
      <rPr>
        <sz val="10"/>
        <color rgb="FF007E00"/>
        <rFont val="Arial"/>
        <family val="2"/>
      </rPr>
      <t xml:space="preserve"> paredesluquemelquiades@hotmail.com</t>
    </r>
  </si>
  <si>
    <r>
      <rPr>
        <sz val="8"/>
        <color rgb="FF007E00"/>
        <rFont val="Arial"/>
        <family val="2"/>
      </rPr>
      <t>Correo:</t>
    </r>
    <r>
      <rPr>
        <sz val="10"/>
        <color rgb="FF007E00"/>
        <rFont val="Arial"/>
        <family val="2"/>
      </rPr>
      <t xml:space="preserve"> Leonardomarmoles@gmail.com</t>
    </r>
  </si>
  <si>
    <t>ALEJOS ARELLANO, PIER ANDRE</t>
  </si>
  <si>
    <t>9210131AJALP003</t>
  </si>
  <si>
    <t>Habitat Mixta/Saldo</t>
  </si>
  <si>
    <t>638881PAAJL2</t>
  </si>
  <si>
    <t>Coop San Pedro Mz T1 Lt01 Campoy calle 8  S.J.L.</t>
  </si>
  <si>
    <t>COLINA NADALES, ANGEL DE JESUS</t>
  </si>
  <si>
    <t>( Auxiliar Enllantador )</t>
  </si>
  <si>
    <t>132443292</t>
  </si>
  <si>
    <r>
      <rPr>
        <sz val="8"/>
        <rFont val="Arial"/>
        <family val="2"/>
      </rPr>
      <t>Correo:</t>
    </r>
    <r>
      <rPr>
        <sz val="10"/>
        <rFont val="Arial"/>
        <family val="2"/>
      </rPr>
      <t xml:space="preserve"> pier_10_13@hotmail.com</t>
    </r>
  </si>
  <si>
    <t>Venezolana</t>
  </si>
  <si>
    <t>Por Registrar</t>
  </si>
  <si>
    <r>
      <rPr>
        <sz val="8"/>
        <rFont val="Arial"/>
        <family val="2"/>
      </rPr>
      <t>Correo:</t>
    </r>
    <r>
      <rPr>
        <sz val="10"/>
        <rFont val="Arial"/>
        <family val="2"/>
      </rPr>
      <t xml:space="preserve"> angeldejesus1514@gmail.com</t>
    </r>
  </si>
  <si>
    <t>Conviviente</t>
  </si>
  <si>
    <t>Mz A Lt 29 Urb la Encantada de Santa Rosa S.M.P.</t>
  </si>
  <si>
    <t>Certificado de Dirove(B/N S/152.00) + 2Cop color</t>
  </si>
  <si>
    <r>
      <t>Jose Pardo - B/N-289043 +RUC</t>
    </r>
    <r>
      <rPr>
        <sz val="10"/>
        <color rgb="FFCC0000"/>
        <rFont val="Arial Narrow"/>
        <family val="2"/>
      </rPr>
      <t xml:space="preserve"> (330-44428 04/02/20)</t>
    </r>
  </si>
  <si>
    <t>CASTELLANOS RODRIGUES, REINALDO JOSE</t>
  </si>
  <si>
    <t>Mz G Lt 3 Urb la Quilla  Callao  -  Callao</t>
  </si>
  <si>
    <t>114577256</t>
  </si>
  <si>
    <r>
      <rPr>
        <sz val="8"/>
        <rFont val="Arial"/>
        <family val="2"/>
      </rPr>
      <t>Correo:</t>
    </r>
    <r>
      <rPr>
        <sz val="10"/>
        <rFont val="Arial"/>
        <family val="2"/>
      </rPr>
      <t xml:space="preserve"> gerardocast195@gmail.com</t>
    </r>
  </si>
  <si>
    <t>Plancha 3/16 x 4 x 8</t>
  </si>
  <si>
    <t>Angulo de 1 1/2 x 3/16</t>
  </si>
  <si>
    <t>CUENTA DE USUSARIO EN TRANSCOSTA</t>
  </si>
  <si>
    <t>http://www.transcosta.com.pe/webmail</t>
  </si>
  <si>
    <t>Direccion de correo electronico     JuanM@transcosta.com.pe</t>
  </si>
  <si>
    <t>Contraseña      Jm80467819</t>
  </si>
  <si>
    <t>.</t>
  </si>
  <si>
    <t>Mateo 15,8</t>
  </si>
  <si>
    <t>"Este pueblo me honra con los labios, pero su corazón está lejos de mí."</t>
  </si>
</sst>
</file>

<file path=xl/styles.xml><?xml version="1.0" encoding="utf-8"?>
<styleSheet xmlns="http://schemas.openxmlformats.org/spreadsheetml/2006/main">
  <numFmts count="72">
    <numFmt numFmtId="8" formatCode="&quot;S/&quot;\ #,##0.00;[Red]&quot;S/&quot;\ \-#,##0.00"/>
    <numFmt numFmtId="41" formatCode="_ * #,##0_ ;_ * \-#,##0_ ;_ * &quot;-&quot;_ ;_ @_ "/>
    <numFmt numFmtId="44" formatCode="_ &quot;S/&quot;\ * #,##0.00_ ;_ &quot;S/&quot;\ * \-#,##0.00_ ;_ &quot;S/&quot;\ * &quot;-&quot;??_ ;_ @_ "/>
    <numFmt numFmtId="43" formatCode="_ * #,##0.00_ ;_ * \-#,##0.00_ ;_ * &quot;-&quot;??_ ;_ @_ "/>
    <numFmt numFmtId="164" formatCode="&quot;S/&quot;\ #,##0.00_);[Red]\(&quot;S/&quot;\ #,##0.00\)"/>
    <numFmt numFmtId="165" formatCode="_(&quot;S/&quot;\ * #,##0.00_);_(&quot;S/&quot;\ * \(#,##0.00\);_(&quot;S/&quot;\ * &quot;-&quot;??_);_(@_)"/>
    <numFmt numFmtId="166" formatCode="_(* #,##0.00_);_(* \(#,##0.00\);_(* &quot;-&quot;??_);_(@_)"/>
    <numFmt numFmtId="167" formatCode="00"/>
    <numFmt numFmtId="168" formatCode="&quot;TRANSCOSTA, &quot;\ dddd\ dd\ &quot;de &quot;\ mmmm\ &quot;de&quot;\ yyyy"/>
    <numFmt numFmtId="169" formatCode="dd\-mm\-yy"/>
    <numFmt numFmtId="170" formatCode="d\-mmm\-yy"/>
    <numFmt numFmtId="171" formatCode="_([$€-2]\ * #,##0.00_);_([$€-2]\ * \(#,##0.00\);_([$€-2]\ * &quot;-&quot;??_)"/>
    <numFmt numFmtId="172" formatCode="_(* #,##0_);_(* \(#,##0\);_(* &quot;-&quot;??_);_(@_)"/>
    <numFmt numFmtId="173" formatCode="_ [$S/.-280A]\ * #,##0.00_ ;_ [$S/.-280A]\ * \-#,##0.00_ ;_ [$S/.-280A]\ * &quot;-&quot;??_ ;_ @_ "/>
    <numFmt numFmtId="174" formatCode="0.00_);\(0.00\)"/>
    <numFmt numFmtId="175" formatCode="&quot;Callao,&quot;\ dddd\ dd\ &quot;de&quot;\ mmmm\ &quot;de&quot;\ yyyy\ "/>
    <numFmt numFmtId="176" formatCode="_-* #,##0.000\ _€_-;\-* #,##0.000\ _€_-;_-* &quot;-&quot;??\ _€_-;_-@_-"/>
    <numFmt numFmtId="177" formatCode="ddd\,dd\-mmm"/>
    <numFmt numFmtId="178" formatCode="0.000"/>
    <numFmt numFmtId="179" formatCode="ddd\,dd/mm/yyyy"/>
    <numFmt numFmtId="180" formatCode="0.00000"/>
    <numFmt numFmtId="181" formatCode="0.0000"/>
    <numFmt numFmtId="182" formatCode="00."/>
    <numFmt numFmtId="183" formatCode="ddd\ dd/mm/yyyy"/>
    <numFmt numFmtId="184" formatCode="&quot;TRANSPORTE COMERCIAL Y SEGURO TAKUSHI S.A.C. , &quot;\ dddd\ dd\ &quot;de &quot;\ mmmm\ &quot;de&quot;\ yyyy"/>
    <numFmt numFmtId="185" formatCode="0.00000%"/>
    <numFmt numFmtId="186" formatCode="dd/mm/yy"/>
    <numFmt numFmtId="187" formatCode="\ ###&quot; * &quot;####\ "/>
    <numFmt numFmtId="188" formatCode="ddd\,\ dd/mm/yyyy"/>
    <numFmt numFmtId="189" formatCode="_(* #,##0.0000_);_(* \(#,##0.0000\);_(* &quot;-&quot;??_);_(@_)"/>
    <numFmt numFmtId="190" formatCode="dd\/mm\/yyyy"/>
    <numFmt numFmtId="191" formatCode="\ @"/>
    <numFmt numFmtId="192" formatCode="\a\a\-0000"/>
    <numFmt numFmtId="193" formatCode="00\ &quot;Dias&quot;"/>
    <numFmt numFmtId="194" formatCode="##0\ &quot;Horas&quot;"/>
    <numFmt numFmtId="195" formatCode="ddd\ dd\-mm\-yy"/>
    <numFmt numFmtId="196" formatCode="#,##0\ &quot;Horas&quot;"/>
    <numFmt numFmtId="197" formatCode="\ \ @"/>
    <numFmt numFmtId="198" formatCode="&quot;US$&quot;\ ##,###.##"/>
    <numFmt numFmtId="199" formatCode="00\ &quot; Und&quot;"/>
    <numFmt numFmtId="200" formatCode="###0.00"/>
    <numFmt numFmtId="201" formatCode="&quot;S/&quot;\ #,##0.00"/>
    <numFmt numFmtId="202" formatCode="00.00"/>
    <numFmt numFmtId="203" formatCode="ddd\,\ dd/mm/yy"/>
    <numFmt numFmtId="204" formatCode="ddd\ dd/mm/yy"/>
    <numFmt numFmtId="205" formatCode="dddd\ dd\-mmm\-yyyy"/>
    <numFmt numFmtId="206" formatCode="ddd\,\ dd\-mmm\-yy"/>
    <numFmt numFmtId="207" formatCode="&quot;TRANSPORTE COMERCIAL Y SEGURO TAKUSHI S.A.C. , &quot;\ dddd\ dd\ &quot;de &quot;\ mmmm\ &quot;de&quot;\ yyyy\ &quot; - [20492292592]&quot;"/>
    <numFmt numFmtId="208" formatCode="0.00&quot; Años&quot;"/>
    <numFmt numFmtId="209" formatCode="\ dd/mm/yyyy"/>
    <numFmt numFmtId="210" formatCode="mm/dd/yyyy"/>
    <numFmt numFmtId="211" formatCode="###\ &quot;Trabajadores en total&quot;"/>
    <numFmt numFmtId="212" formatCode="###\-###\-###"/>
    <numFmt numFmtId="213" formatCode="&quot;OP-&quot;00"/>
    <numFmt numFmtId="214" formatCode="ddd\ dd\-mmm"/>
    <numFmt numFmtId="215" formatCode="_ * #,##0.0000_ ;_ * \-#,##0.0000_ ;_ * &quot;-&quot;??_ ;_ @_ "/>
    <numFmt numFmtId="216" formatCode="dd/mm/yyyy;@"/>
    <numFmt numFmtId="217" formatCode="[$-F800]dddd\,\ mmmm\ dd\,\ yyyy"/>
    <numFmt numFmtId="218" formatCode="ddd\ dd/mm"/>
    <numFmt numFmtId="219" formatCode="ddd\,\ mm\ ddd\ yyyy"/>
    <numFmt numFmtId="220" formatCode="ddd\,\ \ dd\ mmm\ yyyy"/>
    <numFmt numFmtId="221" formatCode="#,##0.00_ ;[Red]\-#,##0.00\ "/>
    <numFmt numFmtId="222" formatCode="[$$-409]#,##0.00"/>
    <numFmt numFmtId="223" formatCode="mmm\-yyyy"/>
    <numFmt numFmtId="224" formatCode="dddd\ dd\ &quot;de&quot;\ mmmm\ &quot;de&quot;\ yyyy"/>
    <numFmt numFmtId="225" formatCode="&quot;   hasta el &quot;ddd\ dd\-mmm"/>
    <numFmt numFmtId="226" formatCode="&quot;Del &quot;ddd\ dd\-mmm"/>
    <numFmt numFmtId="227" formatCode="yy"/>
    <numFmt numFmtId="228" formatCode="ddd\ dd\-mmm\-yyyy"/>
    <numFmt numFmtId="229" formatCode="ddd\,\ dd\-mm\-yy"/>
    <numFmt numFmtId="230" formatCode="000\-000\-000"/>
    <numFmt numFmtId="231" formatCode="#.##&quot; Und&quot;"/>
  </numFmts>
  <fonts count="629">
    <font>
      <sz val="10"/>
      <name val="Arial"/>
    </font>
    <font>
      <sz val="11"/>
      <color theme="1"/>
      <name val="Calibri"/>
      <family val="2"/>
      <scheme val="minor"/>
    </font>
    <font>
      <sz val="10"/>
      <name val="Arial"/>
      <family val="2"/>
    </font>
    <font>
      <b/>
      <sz val="8"/>
      <name val="Arial"/>
      <family val="2"/>
    </font>
    <font>
      <sz val="9"/>
      <name val="Arial"/>
      <family val="2"/>
    </font>
    <font>
      <sz val="11"/>
      <name val="Arial"/>
      <family val="2"/>
    </font>
    <font>
      <b/>
      <sz val="11"/>
      <name val="Arial"/>
      <family val="2"/>
    </font>
    <font>
      <b/>
      <sz val="10"/>
      <name val="Arial"/>
      <family val="2"/>
    </font>
    <font>
      <b/>
      <sz val="12"/>
      <name val="Arial"/>
      <family val="2"/>
    </font>
    <font>
      <i/>
      <sz val="14"/>
      <color indexed="10"/>
      <name val="Copperplate Gothic Light"/>
      <family val="2"/>
    </font>
    <font>
      <sz val="8"/>
      <name val="Arial"/>
      <family val="2"/>
    </font>
    <font>
      <sz val="8"/>
      <name val="Arial"/>
      <family val="2"/>
    </font>
    <font>
      <b/>
      <sz val="10"/>
      <color indexed="12"/>
      <name val="Arial"/>
      <family val="2"/>
    </font>
    <font>
      <sz val="10"/>
      <name val="Arial"/>
      <family val="2"/>
    </font>
    <font>
      <sz val="11"/>
      <name val="Arial"/>
      <family val="2"/>
    </font>
    <font>
      <u/>
      <sz val="10"/>
      <color indexed="12"/>
      <name val="Arial"/>
      <family val="2"/>
    </font>
    <font>
      <sz val="16"/>
      <name val="Arial"/>
      <family val="2"/>
    </font>
    <font>
      <sz val="14"/>
      <name val="Arial"/>
      <family val="2"/>
    </font>
    <font>
      <sz val="10"/>
      <name val="Arial Narrow"/>
      <family val="2"/>
    </font>
    <font>
      <b/>
      <sz val="10"/>
      <name val="Arial Narrow"/>
      <family val="2"/>
    </font>
    <font>
      <sz val="9"/>
      <name val="Arial Narrow"/>
      <family val="2"/>
    </font>
    <font>
      <b/>
      <i/>
      <sz val="16"/>
      <name val="Bookman Old Style"/>
      <family val="1"/>
    </font>
    <font>
      <sz val="12"/>
      <name val="Arial"/>
      <family val="2"/>
    </font>
    <font>
      <sz val="8"/>
      <name val="Arial Narrow"/>
      <family val="2"/>
    </font>
    <font>
      <sz val="10"/>
      <color indexed="61"/>
      <name val="Arial"/>
      <family val="2"/>
    </font>
    <font>
      <sz val="10"/>
      <color indexed="20"/>
      <name val="Arial"/>
      <family val="2"/>
    </font>
    <font>
      <sz val="10"/>
      <color indexed="10"/>
      <name val="Arial"/>
      <family val="2"/>
    </font>
    <font>
      <sz val="10"/>
      <color indexed="12"/>
      <name val="Arial"/>
      <family val="2"/>
    </font>
    <font>
      <sz val="11"/>
      <color indexed="12"/>
      <name val="Arial"/>
      <family val="2"/>
    </font>
    <font>
      <b/>
      <sz val="12"/>
      <color indexed="18"/>
      <name val="Arial"/>
      <family val="2"/>
    </font>
    <font>
      <sz val="8"/>
      <color indexed="18"/>
      <name val="Arial"/>
      <family val="2"/>
    </font>
    <font>
      <b/>
      <sz val="11"/>
      <color indexed="10"/>
      <name val="Arial Narrow"/>
      <family val="2"/>
    </font>
    <font>
      <b/>
      <sz val="10"/>
      <color indexed="10"/>
      <name val="Arial"/>
      <family val="2"/>
    </font>
    <font>
      <i/>
      <sz val="16"/>
      <name val="Bookman Old Style"/>
      <family val="1"/>
    </font>
    <font>
      <b/>
      <i/>
      <sz val="16"/>
      <name val="Arial"/>
      <family val="2"/>
    </font>
    <font>
      <sz val="8"/>
      <color indexed="23"/>
      <name val="Verdana"/>
      <family val="2"/>
    </font>
    <font>
      <b/>
      <sz val="11"/>
      <color indexed="53"/>
      <name val="Verdana"/>
      <family val="2"/>
    </font>
    <font>
      <b/>
      <sz val="8"/>
      <color indexed="23"/>
      <name val="Verdana"/>
      <family val="2"/>
    </font>
    <font>
      <sz val="9"/>
      <color indexed="10"/>
      <name val="Arial"/>
      <family val="2"/>
    </font>
    <font>
      <b/>
      <sz val="12"/>
      <color indexed="22"/>
      <name val="Arial"/>
      <family val="2"/>
    </font>
    <font>
      <b/>
      <sz val="10"/>
      <name val="Arial"/>
      <family val="2"/>
    </font>
    <font>
      <b/>
      <i/>
      <sz val="11"/>
      <name val="Arial"/>
      <family val="2"/>
    </font>
    <font>
      <sz val="10"/>
      <color indexed="81"/>
      <name val="Arial"/>
      <family val="2"/>
    </font>
    <font>
      <sz val="10"/>
      <name val="Bookman Old Style"/>
      <family val="1"/>
    </font>
    <font>
      <sz val="9"/>
      <name val="Bookman Old Style"/>
      <family val="1"/>
    </font>
    <font>
      <b/>
      <sz val="12"/>
      <color indexed="12"/>
      <name val="Arial"/>
      <family val="2"/>
    </font>
    <font>
      <sz val="8"/>
      <color indexed="12"/>
      <name val="Arial"/>
      <family val="2"/>
    </font>
    <font>
      <sz val="9"/>
      <color indexed="12"/>
      <name val="Arial"/>
      <family val="2"/>
    </font>
    <font>
      <sz val="7"/>
      <name val="Arial"/>
      <family val="2"/>
    </font>
    <font>
      <sz val="7"/>
      <color indexed="12"/>
      <name val="Arial"/>
      <family val="2"/>
    </font>
    <font>
      <sz val="14"/>
      <color indexed="12"/>
      <name val="Arial"/>
      <family val="2"/>
    </font>
    <font>
      <sz val="12"/>
      <color indexed="12"/>
      <name val="Arial"/>
      <family val="2"/>
    </font>
    <font>
      <b/>
      <sz val="9"/>
      <name val="Arial"/>
      <family val="2"/>
    </font>
    <font>
      <b/>
      <sz val="14"/>
      <name val="Arial"/>
      <family val="2"/>
    </font>
    <font>
      <sz val="16"/>
      <name val="Arial Narrow"/>
      <family val="2"/>
    </font>
    <font>
      <u/>
      <sz val="8"/>
      <name val="Arial"/>
      <family val="2"/>
    </font>
    <font>
      <u/>
      <sz val="9"/>
      <name val="Arial"/>
      <family val="2"/>
    </font>
    <font>
      <sz val="18"/>
      <name val="Arial"/>
      <family val="2"/>
    </font>
    <font>
      <u val="singleAccounting"/>
      <sz val="11"/>
      <name val="Arial"/>
      <family val="2"/>
    </font>
    <font>
      <b/>
      <u/>
      <sz val="11"/>
      <name val="Arial"/>
      <family val="2"/>
    </font>
    <font>
      <sz val="10"/>
      <color indexed="12"/>
      <name val="Arial"/>
      <family val="2"/>
    </font>
    <font>
      <b/>
      <sz val="9"/>
      <color indexed="12"/>
      <name val="Arial"/>
      <family val="2"/>
    </font>
    <font>
      <b/>
      <sz val="14"/>
      <color indexed="12"/>
      <name val="Arial"/>
      <family val="2"/>
    </font>
    <font>
      <sz val="16"/>
      <color indexed="12"/>
      <name val="Arial Narrow"/>
      <family val="2"/>
    </font>
    <font>
      <u/>
      <sz val="8"/>
      <color indexed="12"/>
      <name val="Arial"/>
      <family val="2"/>
    </font>
    <font>
      <u/>
      <sz val="9"/>
      <color indexed="12"/>
      <name val="Arial"/>
      <family val="2"/>
    </font>
    <font>
      <sz val="18"/>
      <color indexed="12"/>
      <name val="Arial"/>
      <family val="2"/>
    </font>
    <font>
      <u/>
      <sz val="10"/>
      <color indexed="12"/>
      <name val="Arial"/>
      <family val="2"/>
    </font>
    <font>
      <b/>
      <sz val="10"/>
      <color indexed="18"/>
      <name val="Verdana"/>
      <family val="2"/>
    </font>
    <font>
      <sz val="12"/>
      <color indexed="10"/>
      <name val="Arial"/>
      <family val="2"/>
    </font>
    <font>
      <sz val="13"/>
      <name val="Arial"/>
      <family val="2"/>
    </font>
    <font>
      <sz val="8"/>
      <color indexed="10"/>
      <name val="Arial"/>
      <family val="2"/>
    </font>
    <font>
      <b/>
      <i/>
      <u/>
      <sz val="10"/>
      <color indexed="12"/>
      <name val="Arial"/>
      <family val="2"/>
    </font>
    <font>
      <b/>
      <sz val="12"/>
      <color indexed="41"/>
      <name val="Bookman Old Style"/>
      <family val="1"/>
    </font>
    <font>
      <sz val="8"/>
      <color indexed="81"/>
      <name val="MS Sans Serif"/>
      <family val="2"/>
    </font>
    <font>
      <sz val="9.5"/>
      <name val="Arial"/>
      <family val="2"/>
    </font>
    <font>
      <sz val="10"/>
      <color indexed="81"/>
      <name val="Arial Narrow"/>
      <family val="2"/>
    </font>
    <font>
      <sz val="10"/>
      <color indexed="16"/>
      <name val="Arial"/>
      <family val="2"/>
    </font>
    <font>
      <sz val="12"/>
      <color indexed="16"/>
      <name val="Arial"/>
      <family val="2"/>
    </font>
    <font>
      <sz val="10"/>
      <color indexed="16"/>
      <name val="Arial"/>
      <family val="2"/>
    </font>
    <font>
      <b/>
      <sz val="9"/>
      <color indexed="16"/>
      <name val="Arial"/>
      <family val="2"/>
    </font>
    <font>
      <b/>
      <sz val="12"/>
      <color indexed="16"/>
      <name val="Arial"/>
      <family val="2"/>
    </font>
    <font>
      <b/>
      <sz val="10"/>
      <color indexed="16"/>
      <name val="Arial"/>
      <family val="2"/>
    </font>
    <font>
      <b/>
      <sz val="14"/>
      <color indexed="16"/>
      <name val="Arial"/>
      <family val="2"/>
    </font>
    <font>
      <sz val="16"/>
      <color indexed="16"/>
      <name val="Arial Narrow"/>
      <family val="2"/>
    </font>
    <font>
      <u/>
      <sz val="8"/>
      <color indexed="16"/>
      <name val="Arial"/>
      <family val="2"/>
    </font>
    <font>
      <u/>
      <sz val="9"/>
      <color indexed="16"/>
      <name val="Arial"/>
      <family val="2"/>
    </font>
    <font>
      <sz val="9"/>
      <color indexed="16"/>
      <name val="Arial"/>
      <family val="2"/>
    </font>
    <font>
      <sz val="18"/>
      <color indexed="16"/>
      <name val="Arial"/>
      <family val="2"/>
    </font>
    <font>
      <b/>
      <u val="singleAccounting"/>
      <sz val="11"/>
      <color indexed="10"/>
      <name val="Arial"/>
      <family val="2"/>
    </font>
    <font>
      <b/>
      <u val="singleAccounting"/>
      <sz val="10"/>
      <color indexed="10"/>
      <name val="Arial"/>
      <family val="2"/>
    </font>
    <font>
      <b/>
      <u/>
      <sz val="11"/>
      <color indexed="10"/>
      <name val="Arial Narrow"/>
      <family val="2"/>
    </font>
    <font>
      <b/>
      <u/>
      <sz val="14"/>
      <color indexed="10"/>
      <name val="Arial Narrow"/>
      <family val="2"/>
    </font>
    <font>
      <sz val="10"/>
      <color indexed="10"/>
      <name val="Arial Narrow"/>
      <family val="2"/>
    </font>
    <font>
      <u/>
      <sz val="10"/>
      <color indexed="10"/>
      <name val="Arial Narrow"/>
      <family val="2"/>
    </font>
    <font>
      <b/>
      <u/>
      <sz val="10"/>
      <color indexed="10"/>
      <name val="Arial Narrow"/>
      <family val="2"/>
    </font>
    <font>
      <b/>
      <u val="singleAccounting"/>
      <sz val="14"/>
      <color indexed="10"/>
      <name val="Arial"/>
      <family val="2"/>
    </font>
    <font>
      <sz val="10"/>
      <name val="Roman 12cpi"/>
      <family val="3"/>
    </font>
    <font>
      <sz val="12"/>
      <name val="Roman 12cpi"/>
      <family val="3"/>
    </font>
    <font>
      <sz val="9"/>
      <name val="Roman 12cpi"/>
      <family val="3"/>
    </font>
    <font>
      <sz val="12"/>
      <name val="Arial Narrow"/>
      <family val="2"/>
    </font>
    <font>
      <i/>
      <u/>
      <sz val="8"/>
      <name val="Arial"/>
      <family val="2"/>
    </font>
    <font>
      <i/>
      <sz val="12"/>
      <name val="Bookman Old Style"/>
      <family val="1"/>
    </font>
    <font>
      <i/>
      <sz val="9"/>
      <name val="Arial"/>
      <family val="2"/>
    </font>
    <font>
      <i/>
      <sz val="26"/>
      <name val="Bookman Old Style"/>
      <family val="1"/>
    </font>
    <font>
      <sz val="12"/>
      <name val="Arial Unicode MS"/>
      <family val="2"/>
    </font>
    <font>
      <sz val="10"/>
      <name val="Courier"/>
      <family val="3"/>
    </font>
    <font>
      <b/>
      <sz val="11"/>
      <name val="Arial"/>
      <family val="2"/>
    </font>
    <font>
      <b/>
      <sz val="11"/>
      <name val="Courier"/>
      <family val="3"/>
    </font>
    <font>
      <sz val="8"/>
      <color indexed="8"/>
      <name val="Verdana"/>
      <family val="2"/>
    </font>
    <font>
      <b/>
      <sz val="8"/>
      <color indexed="8"/>
      <name val="Verdana"/>
      <family val="2"/>
    </font>
    <font>
      <b/>
      <sz val="8"/>
      <color indexed="49"/>
      <name val="Verdana"/>
      <family val="2"/>
    </font>
    <font>
      <sz val="8"/>
      <color indexed="18"/>
      <name val="Verdana"/>
      <family val="2"/>
    </font>
    <font>
      <sz val="10"/>
      <color indexed="8"/>
      <name val="Verdana"/>
      <family val="2"/>
    </font>
    <font>
      <b/>
      <sz val="10"/>
      <color indexed="18"/>
      <name val="Batang"/>
      <family val="1"/>
    </font>
    <font>
      <sz val="11"/>
      <color indexed="10"/>
      <name val="Arial"/>
      <family val="2"/>
    </font>
    <font>
      <sz val="10"/>
      <name val="Arial"/>
      <family val="2"/>
    </font>
    <font>
      <sz val="10"/>
      <name val="Agency FB"/>
      <family val="2"/>
    </font>
    <font>
      <b/>
      <sz val="10"/>
      <name val="Agency FB"/>
      <family val="2"/>
    </font>
    <font>
      <sz val="8"/>
      <color indexed="81"/>
      <name val="Tahoma"/>
      <family val="2"/>
    </font>
    <font>
      <b/>
      <sz val="8"/>
      <color indexed="81"/>
      <name val="Tahoma"/>
      <family val="2"/>
    </font>
    <font>
      <sz val="11"/>
      <color indexed="10"/>
      <name val="Arial"/>
      <family val="2"/>
    </font>
    <font>
      <sz val="14"/>
      <color indexed="22"/>
      <name val="Arial"/>
      <family val="2"/>
    </font>
    <font>
      <b/>
      <sz val="10"/>
      <color indexed="10"/>
      <name val="Arial"/>
      <family val="2"/>
    </font>
    <font>
      <b/>
      <sz val="10"/>
      <color indexed="30"/>
      <name val="Arial"/>
      <family val="2"/>
    </font>
    <font>
      <sz val="10"/>
      <color indexed="30"/>
      <name val="Arial"/>
      <family val="2"/>
    </font>
    <font>
      <sz val="10"/>
      <color indexed="10"/>
      <name val="Arial"/>
      <family val="2"/>
    </font>
    <font>
      <sz val="12"/>
      <color indexed="10"/>
      <name val="Arial"/>
      <family val="2"/>
    </font>
    <font>
      <b/>
      <sz val="11"/>
      <color indexed="10"/>
      <name val="Arial"/>
      <family val="2"/>
    </font>
    <font>
      <sz val="9"/>
      <color indexed="10"/>
      <name val="Arial"/>
      <family val="2"/>
    </font>
    <font>
      <u/>
      <sz val="9"/>
      <color indexed="10"/>
      <name val="Arial"/>
      <family val="2"/>
    </font>
    <font>
      <b/>
      <sz val="10"/>
      <color indexed="18"/>
      <name val="Arial"/>
      <family val="2"/>
    </font>
    <font>
      <sz val="10"/>
      <color indexed="18"/>
      <name val="Arial"/>
      <family val="2"/>
    </font>
    <font>
      <b/>
      <sz val="12"/>
      <color indexed="10"/>
      <name val="Arial"/>
      <family val="2"/>
    </font>
    <font>
      <sz val="11"/>
      <color indexed="17"/>
      <name val="Arial"/>
      <family val="2"/>
    </font>
    <font>
      <b/>
      <i/>
      <sz val="10"/>
      <name val="Arial"/>
      <family val="2"/>
    </font>
    <font>
      <b/>
      <i/>
      <u/>
      <sz val="12"/>
      <color indexed="12"/>
      <name val="Arial"/>
      <family val="2"/>
    </font>
    <font>
      <sz val="36"/>
      <color indexed="10"/>
      <name val="Arial"/>
      <family val="2"/>
    </font>
    <font>
      <sz val="10"/>
      <color indexed="62"/>
      <name val="Arial"/>
      <family val="2"/>
    </font>
    <font>
      <sz val="9.5"/>
      <color indexed="62"/>
      <name val="Arial"/>
      <family val="2"/>
    </font>
    <font>
      <sz val="9"/>
      <color indexed="81"/>
      <name val="Tahoma"/>
      <family val="2"/>
    </font>
    <font>
      <sz val="8"/>
      <color indexed="81"/>
      <name val="Arial"/>
      <family val="2"/>
    </font>
    <font>
      <sz val="12"/>
      <name val="Arial"/>
      <family val="2"/>
    </font>
    <font>
      <sz val="11"/>
      <name val="Arial"/>
      <family val="2"/>
    </font>
    <font>
      <u/>
      <sz val="10"/>
      <color indexed="10"/>
      <name val="Arial"/>
      <family val="2"/>
    </font>
    <font>
      <i/>
      <sz val="10"/>
      <color indexed="12"/>
      <name val="Arial"/>
      <family val="2"/>
    </font>
    <font>
      <i/>
      <sz val="11"/>
      <name val="Arial"/>
      <family val="2"/>
    </font>
    <font>
      <i/>
      <u/>
      <sz val="10"/>
      <color indexed="12"/>
      <name val="Arial"/>
      <family val="2"/>
    </font>
    <font>
      <sz val="10"/>
      <color indexed="17"/>
      <name val="Arial"/>
      <family val="2"/>
    </font>
    <font>
      <b/>
      <sz val="12"/>
      <color indexed="17"/>
      <name val="Arial"/>
      <family val="2"/>
    </font>
    <font>
      <sz val="8"/>
      <color indexed="17"/>
      <name val="Arial"/>
      <family val="2"/>
    </font>
    <font>
      <sz val="9"/>
      <color indexed="17"/>
      <name val="Arial"/>
      <family val="2"/>
    </font>
    <font>
      <sz val="12"/>
      <color indexed="17"/>
      <name val="Arial"/>
      <family val="2"/>
    </font>
    <font>
      <b/>
      <i/>
      <sz val="12"/>
      <color indexed="17"/>
      <name val="Arial"/>
      <family val="2"/>
    </font>
    <font>
      <i/>
      <sz val="10"/>
      <color indexed="10"/>
      <name val="Copperplate Gothic Light"/>
      <family val="2"/>
    </font>
    <font>
      <sz val="10"/>
      <name val="Arial"/>
      <family val="2"/>
    </font>
    <font>
      <b/>
      <sz val="10"/>
      <color indexed="21"/>
      <name val="Arial"/>
      <family val="2"/>
    </font>
    <font>
      <sz val="9"/>
      <color indexed="21"/>
      <name val="Arial"/>
      <family val="2"/>
    </font>
    <font>
      <sz val="8"/>
      <color indexed="56"/>
      <name val="Verdana"/>
      <family val="2"/>
    </font>
    <font>
      <b/>
      <sz val="10"/>
      <color indexed="56"/>
      <name val="Arial"/>
      <family val="2"/>
    </font>
    <font>
      <sz val="10"/>
      <color indexed="56"/>
      <name val="Arial"/>
      <family val="2"/>
    </font>
    <font>
      <b/>
      <sz val="14"/>
      <color indexed="10"/>
      <name val="Arial"/>
      <family val="2"/>
    </font>
    <font>
      <sz val="9.5"/>
      <color indexed="10"/>
      <name val="Arial"/>
      <family val="2"/>
    </font>
    <font>
      <i/>
      <sz val="12"/>
      <color indexed="10"/>
      <name val="Copperplate Gothic Light"/>
      <family val="2"/>
    </font>
    <font>
      <b/>
      <i/>
      <sz val="14"/>
      <color indexed="10"/>
      <name val="Copperplate Gothic Light"/>
      <family val="2"/>
    </font>
    <font>
      <b/>
      <i/>
      <sz val="10"/>
      <name val="Copperplate Gothic Light"/>
      <family val="2"/>
    </font>
    <font>
      <i/>
      <sz val="10"/>
      <name val="Copperplate Gothic Light"/>
      <family val="2"/>
    </font>
    <font>
      <sz val="12"/>
      <name val="@MS Mincho"/>
      <family val="3"/>
    </font>
    <font>
      <i/>
      <u/>
      <sz val="10"/>
      <name val="Arial"/>
      <family val="2"/>
    </font>
    <font>
      <sz val="10.5"/>
      <name val="Consolas"/>
      <family val="3"/>
    </font>
    <font>
      <sz val="20"/>
      <name val="BankGothic Md BT"/>
      <family val="2"/>
    </font>
    <font>
      <i/>
      <sz val="12"/>
      <name val="Arial"/>
      <family val="2"/>
    </font>
    <font>
      <sz val="16"/>
      <name val="BankGothic Md BT"/>
      <family val="2"/>
    </font>
    <font>
      <sz val="11"/>
      <name val="BankGothic Md BT"/>
      <family val="2"/>
    </font>
    <font>
      <sz val="11"/>
      <name val="Arial Narrow"/>
      <family val="2"/>
    </font>
    <font>
      <sz val="12"/>
      <color indexed="10"/>
      <name val="BankGothic Md BT"/>
      <family val="2"/>
    </font>
    <font>
      <sz val="12"/>
      <name val="BankGothic Md BT"/>
      <family val="2"/>
    </font>
    <font>
      <sz val="8"/>
      <name val="BankGothic Md BT"/>
      <family val="2"/>
    </font>
    <font>
      <sz val="11"/>
      <color indexed="10"/>
      <name val="BankGothic Md BT"/>
      <family val="2"/>
    </font>
    <font>
      <i/>
      <sz val="10"/>
      <color indexed="10"/>
      <name val="Arial"/>
      <family val="2"/>
    </font>
    <font>
      <i/>
      <sz val="10"/>
      <name val="Arial"/>
      <family val="2"/>
    </font>
    <font>
      <sz val="10"/>
      <color indexed="55"/>
      <name val="Arial"/>
      <family val="2"/>
    </font>
    <font>
      <b/>
      <sz val="11"/>
      <color indexed="9"/>
      <name val="Arial"/>
      <family val="2"/>
    </font>
    <font>
      <b/>
      <sz val="11"/>
      <color indexed="63"/>
      <name val="Arial"/>
      <family val="2"/>
    </font>
    <font>
      <b/>
      <sz val="12"/>
      <color indexed="48"/>
      <name val="Arial"/>
      <family val="2"/>
    </font>
    <font>
      <b/>
      <sz val="11"/>
      <color indexed="48"/>
      <name val="Arial"/>
      <family val="2"/>
    </font>
    <font>
      <i/>
      <sz val="10"/>
      <color indexed="10"/>
      <name val="Copperplate Gothic Light"/>
      <family val="2"/>
    </font>
    <font>
      <b/>
      <sz val="10.5"/>
      <name val="Arial"/>
      <family val="2"/>
    </font>
    <font>
      <sz val="10.5"/>
      <name val="Arial"/>
      <family val="2"/>
    </font>
    <font>
      <sz val="16"/>
      <color indexed="10"/>
      <name val="BankGothic Md BT"/>
      <family val="2"/>
    </font>
    <font>
      <sz val="11"/>
      <color indexed="55"/>
      <name val="Arial"/>
      <family val="2"/>
    </font>
    <font>
      <b/>
      <sz val="8"/>
      <color indexed="10"/>
      <name val="Arial"/>
      <family val="2"/>
    </font>
    <font>
      <sz val="10"/>
      <name val="Verdana"/>
      <family val="2"/>
    </font>
    <font>
      <sz val="14"/>
      <color indexed="10"/>
      <name val="Arial"/>
      <family val="2"/>
    </font>
    <font>
      <sz val="12"/>
      <color indexed="10"/>
      <name val="Cambria"/>
      <family val="1"/>
    </font>
    <font>
      <sz val="8"/>
      <color indexed="10"/>
      <name val="Verdana"/>
      <family val="2"/>
    </font>
    <font>
      <i/>
      <sz val="10"/>
      <color indexed="62"/>
      <name val="Arial"/>
      <family val="2"/>
    </font>
    <font>
      <b/>
      <sz val="10"/>
      <color indexed="20"/>
      <name val="Arial"/>
      <family val="2"/>
    </font>
    <font>
      <sz val="8"/>
      <color indexed="61"/>
      <name val="Verdana"/>
      <family val="2"/>
    </font>
    <font>
      <sz val="10"/>
      <color indexed="10"/>
      <name val="Cambria"/>
      <family val="1"/>
    </font>
    <font>
      <sz val="10"/>
      <color indexed="10"/>
      <name val="Blue Highway D Type"/>
    </font>
    <font>
      <b/>
      <sz val="14"/>
      <color indexed="10"/>
      <name val="Cambria"/>
      <family val="1"/>
    </font>
    <font>
      <sz val="14"/>
      <color indexed="10"/>
      <name val="Cambria"/>
      <family val="1"/>
    </font>
    <font>
      <b/>
      <sz val="8"/>
      <color indexed="18"/>
      <name val="Verdana"/>
      <family val="2"/>
    </font>
    <font>
      <b/>
      <sz val="10"/>
      <name val="Arial"/>
      <family val="2"/>
    </font>
    <font>
      <sz val="8"/>
      <color indexed="81"/>
      <name val="Arial Narrow"/>
      <family val="2"/>
    </font>
    <font>
      <b/>
      <sz val="14"/>
      <name val="Arial Narrow"/>
      <family val="2"/>
    </font>
    <font>
      <sz val="11"/>
      <color indexed="56"/>
      <name val="Arial"/>
      <family val="2"/>
    </font>
    <font>
      <b/>
      <sz val="10"/>
      <color indexed="10"/>
      <name val="Arial"/>
      <family val="2"/>
    </font>
    <font>
      <b/>
      <sz val="8"/>
      <color indexed="10"/>
      <name val="Verdana"/>
      <family val="2"/>
    </font>
    <font>
      <sz val="10"/>
      <color indexed="10"/>
      <name val="Arial"/>
      <family val="2"/>
    </font>
    <font>
      <sz val="11"/>
      <color indexed="10"/>
      <name val="Verdana"/>
      <family val="2"/>
    </font>
    <font>
      <sz val="11"/>
      <color indexed="18"/>
      <name val="Verdana"/>
      <family val="2"/>
    </font>
    <font>
      <b/>
      <sz val="11"/>
      <color indexed="10"/>
      <name val="Verdana"/>
      <family val="2"/>
    </font>
    <font>
      <sz val="9"/>
      <color indexed="18"/>
      <name val="Verdana"/>
      <family val="2"/>
    </font>
    <font>
      <sz val="10"/>
      <color indexed="18"/>
      <name val="Verdana"/>
      <family val="2"/>
    </font>
    <font>
      <sz val="8"/>
      <color indexed="20"/>
      <name val="Arial"/>
      <family val="2"/>
    </font>
    <font>
      <sz val="10"/>
      <color indexed="23"/>
      <name val="Arial"/>
      <family val="2"/>
    </font>
    <font>
      <sz val="8"/>
      <color indexed="21"/>
      <name val="Arial"/>
      <family val="2"/>
    </font>
    <font>
      <sz val="7"/>
      <color indexed="18"/>
      <name val="Arial"/>
      <family val="2"/>
    </font>
    <font>
      <i/>
      <sz val="11"/>
      <color indexed="10"/>
      <name val="Copperplate Gothic Light"/>
      <family val="2"/>
    </font>
    <font>
      <i/>
      <sz val="11"/>
      <color indexed="10"/>
      <name val="Copperplate Gothic Light"/>
      <family val="2"/>
    </font>
    <font>
      <sz val="9.5"/>
      <color indexed="20"/>
      <name val="Arial"/>
      <family val="2"/>
    </font>
    <font>
      <sz val="8"/>
      <color indexed="56"/>
      <name val="Arial"/>
      <family val="2"/>
    </font>
    <font>
      <b/>
      <sz val="8"/>
      <color indexed="56"/>
      <name val="Arial"/>
      <family val="2"/>
    </font>
    <font>
      <sz val="11"/>
      <color indexed="23"/>
      <name val="Arial"/>
      <family val="2"/>
    </font>
    <font>
      <b/>
      <sz val="8"/>
      <color indexed="21"/>
      <name val="Arial"/>
      <family val="2"/>
    </font>
    <font>
      <b/>
      <sz val="8"/>
      <color indexed="18"/>
      <name val="Arial"/>
      <family val="2"/>
    </font>
    <font>
      <sz val="8"/>
      <color indexed="55"/>
      <name val="Arial"/>
      <family val="2"/>
    </font>
    <font>
      <sz val="8"/>
      <name val="Bookman Old Style"/>
      <family val="1"/>
    </font>
    <font>
      <sz val="8"/>
      <name val="Arial"/>
      <family val="2"/>
    </font>
    <font>
      <sz val="7"/>
      <color indexed="21"/>
      <name val="Arial"/>
      <family val="2"/>
    </font>
    <font>
      <sz val="9"/>
      <color indexed="81"/>
      <name val="Arial"/>
      <family val="2"/>
    </font>
    <font>
      <i/>
      <sz val="11"/>
      <color indexed="23"/>
      <name val="Copperplate Gothic Light"/>
      <family val="2"/>
    </font>
    <font>
      <b/>
      <sz val="10"/>
      <color indexed="22"/>
      <name val="Arial"/>
      <family val="2"/>
    </font>
    <font>
      <sz val="8"/>
      <color indexed="22"/>
      <name val="Arial"/>
      <family val="2"/>
    </font>
    <font>
      <sz val="9"/>
      <color indexed="22"/>
      <name val="Arial"/>
      <family val="2"/>
    </font>
    <font>
      <sz val="11"/>
      <color indexed="22"/>
      <name val="Arial"/>
      <family val="2"/>
    </font>
    <font>
      <sz val="10"/>
      <color indexed="22"/>
      <name val="Arial"/>
      <family val="2"/>
    </font>
    <font>
      <b/>
      <sz val="12"/>
      <color indexed="55"/>
      <name val="Cambria"/>
      <family val="1"/>
    </font>
    <font>
      <b/>
      <sz val="10"/>
      <color indexed="55"/>
      <name val="Cambria"/>
      <family val="1"/>
    </font>
    <font>
      <sz val="8"/>
      <color indexed="55"/>
      <name val="Cambria"/>
      <family val="1"/>
    </font>
    <font>
      <b/>
      <sz val="12"/>
      <color indexed="55"/>
      <name val="Arial"/>
      <family val="2"/>
    </font>
    <font>
      <sz val="9"/>
      <color indexed="55"/>
      <name val="Arial Narrow"/>
      <family val="2"/>
    </font>
    <font>
      <sz val="9"/>
      <color indexed="23"/>
      <name val="Tahoma"/>
      <family val="2"/>
    </font>
    <font>
      <b/>
      <sz val="10"/>
      <color indexed="10"/>
      <name val="Tahoma"/>
      <family val="2"/>
    </font>
    <font>
      <b/>
      <i/>
      <sz val="10"/>
      <color indexed="20"/>
      <name val="Arial"/>
      <family val="2"/>
    </font>
    <font>
      <i/>
      <sz val="11"/>
      <color indexed="20"/>
      <name val="Copperplate Gothic Light"/>
      <family val="2"/>
    </font>
    <font>
      <i/>
      <u/>
      <sz val="16"/>
      <color indexed="12"/>
      <name val="Cambria"/>
      <family val="1"/>
    </font>
    <font>
      <b/>
      <sz val="9"/>
      <color indexed="81"/>
      <name val="Tahoma"/>
      <family val="2"/>
    </font>
    <font>
      <i/>
      <sz val="12"/>
      <color indexed="10"/>
      <name val="Copperplate Gothic Light"/>
      <family val="2"/>
    </font>
    <font>
      <b/>
      <i/>
      <sz val="12"/>
      <name val="Arial"/>
      <family val="2"/>
    </font>
    <font>
      <i/>
      <sz val="13"/>
      <name val="Arial"/>
      <family val="2"/>
    </font>
    <font>
      <sz val="10"/>
      <color indexed="8"/>
      <name val="Arial"/>
      <family val="2"/>
    </font>
    <font>
      <b/>
      <sz val="8"/>
      <color indexed="63"/>
      <name val="Arial"/>
      <family val="2"/>
    </font>
    <font>
      <b/>
      <sz val="18"/>
      <color indexed="8"/>
      <name val="Arial"/>
      <family val="2"/>
    </font>
    <font>
      <sz val="8"/>
      <color indexed="16"/>
      <name val="Arial"/>
      <family val="2"/>
    </font>
    <font>
      <u/>
      <sz val="10"/>
      <color indexed="16"/>
      <name val="Arial"/>
      <family val="2"/>
    </font>
    <font>
      <sz val="10"/>
      <name val="MS Sans Serif"/>
      <family val="2"/>
    </font>
    <font>
      <sz val="10"/>
      <color indexed="12"/>
      <name val="MS Sans Serif"/>
      <family val="2"/>
    </font>
    <font>
      <b/>
      <sz val="10"/>
      <color indexed="8"/>
      <name val="Arial"/>
      <family val="2"/>
    </font>
    <font>
      <b/>
      <i/>
      <sz val="11"/>
      <color indexed="12"/>
      <name val="Arial"/>
      <family val="2"/>
    </font>
    <font>
      <i/>
      <sz val="11"/>
      <name val="Copperplate Gothic Light"/>
      <family val="2"/>
    </font>
    <font>
      <sz val="9"/>
      <color indexed="12"/>
      <name val="Georgia"/>
      <family val="1"/>
    </font>
    <font>
      <i/>
      <sz val="9"/>
      <name val="Georgia"/>
      <family val="1"/>
    </font>
    <font>
      <i/>
      <sz val="11"/>
      <color indexed="10"/>
      <name val="Arial"/>
      <family val="2"/>
    </font>
    <font>
      <sz val="9"/>
      <color indexed="8"/>
      <name val="Arial"/>
      <family val="2"/>
    </font>
    <font>
      <sz val="8.5"/>
      <color indexed="8"/>
      <name val="Arial"/>
      <family val="2"/>
    </font>
    <font>
      <sz val="8"/>
      <color indexed="10"/>
      <name val="Tahoma"/>
      <family val="2"/>
    </font>
    <font>
      <sz val="11"/>
      <name val="Calibri"/>
      <family val="2"/>
    </font>
    <font>
      <b/>
      <sz val="14"/>
      <name val="BankGothic Md BT"/>
      <family val="2"/>
    </font>
    <font>
      <sz val="9.5"/>
      <color indexed="12"/>
      <name val="Arial"/>
      <family val="2"/>
    </font>
    <font>
      <sz val="10"/>
      <color indexed="81"/>
      <name val="Tahoma"/>
      <family val="2"/>
    </font>
    <font>
      <b/>
      <sz val="9"/>
      <color indexed="10"/>
      <name val="Arial"/>
      <family val="2"/>
    </font>
    <font>
      <b/>
      <i/>
      <sz val="9"/>
      <name val="Arial"/>
      <family val="2"/>
    </font>
    <font>
      <sz val="9"/>
      <name val="Arial"/>
      <family val="2"/>
    </font>
    <font>
      <i/>
      <sz val="9"/>
      <name val="Copperplate Gothic Light"/>
      <family val="2"/>
    </font>
    <font>
      <b/>
      <sz val="9"/>
      <color indexed="17"/>
      <name val="Arial"/>
      <family val="2"/>
    </font>
    <font>
      <b/>
      <i/>
      <u/>
      <sz val="9"/>
      <name val="Arial"/>
      <family val="2"/>
    </font>
    <font>
      <sz val="7.5"/>
      <name val="Arial"/>
      <family val="2"/>
    </font>
    <font>
      <b/>
      <sz val="7.5"/>
      <name val="Arial"/>
      <family val="2"/>
    </font>
    <font>
      <sz val="7.5"/>
      <color indexed="10"/>
      <name val="Arial"/>
      <family val="2"/>
    </font>
    <font>
      <i/>
      <sz val="9"/>
      <color indexed="10"/>
      <name val="Tahoma"/>
      <family val="2"/>
    </font>
    <font>
      <b/>
      <sz val="10"/>
      <color indexed="17"/>
      <name val="Arial"/>
      <family val="2"/>
    </font>
    <font>
      <i/>
      <sz val="12"/>
      <color indexed="12"/>
      <name val="Tahoma"/>
      <family val="2"/>
    </font>
    <font>
      <b/>
      <i/>
      <sz val="10"/>
      <color indexed="10"/>
      <name val="Arial"/>
      <family val="2"/>
    </font>
    <font>
      <sz val="9.5"/>
      <color indexed="81"/>
      <name val="Arial"/>
      <family val="2"/>
    </font>
    <font>
      <b/>
      <u/>
      <sz val="10"/>
      <name val="Arial"/>
      <family val="2"/>
    </font>
    <font>
      <sz val="11"/>
      <name val="Batang"/>
      <family val="1"/>
    </font>
    <font>
      <sz val="9"/>
      <color indexed="56"/>
      <name val="Cambria"/>
      <family val="1"/>
    </font>
    <font>
      <sz val="10"/>
      <color indexed="12"/>
      <name val="Arial Narrow"/>
      <family val="2"/>
    </font>
    <font>
      <sz val="10"/>
      <color indexed="54"/>
      <name val="Arial"/>
      <family val="2"/>
    </font>
    <font>
      <b/>
      <sz val="10"/>
      <color indexed="54"/>
      <name val="Arial"/>
      <family val="2"/>
    </font>
    <font>
      <b/>
      <u/>
      <sz val="10"/>
      <color indexed="54"/>
      <name val="Arial"/>
      <family val="2"/>
    </font>
    <font>
      <u/>
      <sz val="10"/>
      <color indexed="54"/>
      <name val="Arial"/>
      <family val="2"/>
    </font>
    <font>
      <sz val="8"/>
      <color indexed="54"/>
      <name val="Arial"/>
      <family val="2"/>
    </font>
    <font>
      <sz val="11"/>
      <color indexed="54"/>
      <name val="Arial"/>
      <family val="2"/>
    </font>
    <font>
      <b/>
      <sz val="11"/>
      <color indexed="54"/>
      <name val="Arial"/>
      <family val="2"/>
    </font>
    <font>
      <sz val="7"/>
      <color indexed="54"/>
      <name val="Arial"/>
      <family val="2"/>
    </font>
    <font>
      <b/>
      <sz val="12"/>
      <color indexed="54"/>
      <name val="Arial"/>
      <family val="2"/>
    </font>
    <font>
      <i/>
      <sz val="10"/>
      <color indexed="54"/>
      <name val="Arial"/>
      <family val="2"/>
    </font>
    <font>
      <i/>
      <u/>
      <sz val="12"/>
      <color indexed="53"/>
      <name val="Arial"/>
      <family val="2"/>
    </font>
    <font>
      <b/>
      <sz val="11"/>
      <name val="Calibri"/>
      <family val="2"/>
    </font>
    <font>
      <b/>
      <sz val="11"/>
      <color indexed="23"/>
      <name val="Calibri"/>
      <family val="2"/>
    </font>
    <font>
      <sz val="9"/>
      <color indexed="12"/>
      <name val="Arial Narrow"/>
      <family val="2"/>
    </font>
    <font>
      <i/>
      <sz val="12"/>
      <color indexed="12"/>
      <name val="Arial"/>
      <family val="2"/>
    </font>
    <font>
      <sz val="10"/>
      <color indexed="10"/>
      <name val="Bookman Old Style"/>
      <family val="1"/>
    </font>
    <font>
      <b/>
      <sz val="12"/>
      <name val="@Arial Unicode MS"/>
      <family val="2"/>
    </font>
    <font>
      <b/>
      <sz val="12"/>
      <name val="@MS Mincho"/>
      <family val="3"/>
    </font>
    <font>
      <sz val="8"/>
      <color indexed="12"/>
      <name val="Bookman Old Style"/>
      <family val="1"/>
    </font>
    <font>
      <b/>
      <sz val="9"/>
      <color indexed="20"/>
      <name val="Arial"/>
      <family val="2"/>
    </font>
    <font>
      <u/>
      <sz val="10"/>
      <name val="Arial"/>
      <family val="2"/>
    </font>
    <font>
      <sz val="8"/>
      <color indexed="10"/>
      <name val="Bookman Old Style"/>
      <family val="1"/>
    </font>
    <font>
      <sz val="8"/>
      <name val="Verdana"/>
      <family val="2"/>
    </font>
    <font>
      <sz val="9"/>
      <name val="Copperplate Gothic Light"/>
      <family val="2"/>
    </font>
    <font>
      <vertAlign val="subscript"/>
      <sz val="11"/>
      <name val="Arial"/>
      <family val="2"/>
    </font>
    <font>
      <sz val="11"/>
      <color indexed="8"/>
      <name val="Arial"/>
      <family val="2"/>
    </font>
    <font>
      <b/>
      <sz val="11"/>
      <color indexed="8"/>
      <name val="Arial"/>
      <family val="2"/>
    </font>
    <font>
      <u/>
      <sz val="10"/>
      <color indexed="10"/>
      <name val="Copperplate Gothic Light"/>
      <family val="2"/>
    </font>
    <font>
      <sz val="18"/>
      <name val="Bookman Old Style"/>
      <family val="1"/>
    </font>
    <font>
      <b/>
      <sz val="8"/>
      <color indexed="22"/>
      <name val="Arial"/>
      <family val="2"/>
    </font>
    <font>
      <sz val="7"/>
      <color indexed="22"/>
      <name val="Arial"/>
      <family val="2"/>
    </font>
    <font>
      <i/>
      <sz val="11"/>
      <color indexed="22"/>
      <name val="Copperplate Gothic Light"/>
      <family val="2"/>
    </font>
    <font>
      <b/>
      <i/>
      <sz val="10"/>
      <color indexed="22"/>
      <name val="Arial"/>
      <family val="2"/>
    </font>
    <font>
      <sz val="9"/>
      <color indexed="10"/>
      <name val="Book Antiqua"/>
      <family val="1"/>
    </font>
    <font>
      <u/>
      <sz val="13"/>
      <color indexed="16"/>
      <name val="BankGothic Md BT"/>
      <family val="2"/>
    </font>
    <font>
      <b/>
      <i/>
      <u/>
      <sz val="12"/>
      <name val="Arial"/>
      <family val="2"/>
    </font>
    <font>
      <i/>
      <u/>
      <sz val="12"/>
      <color indexed="62"/>
      <name val="Arial"/>
      <family val="2"/>
    </font>
    <font>
      <i/>
      <sz val="8"/>
      <color indexed="62"/>
      <name val="Arial"/>
      <family val="2"/>
    </font>
    <font>
      <b/>
      <sz val="10"/>
      <color indexed="62"/>
      <name val="Arial"/>
      <family val="2"/>
    </font>
    <font>
      <b/>
      <sz val="12"/>
      <color indexed="62"/>
      <name val="Arial"/>
      <family val="2"/>
    </font>
    <font>
      <b/>
      <sz val="14"/>
      <color indexed="62"/>
      <name val="Arial"/>
      <family val="2"/>
    </font>
    <font>
      <b/>
      <sz val="11"/>
      <color indexed="62"/>
      <name val="Arial"/>
      <family val="2"/>
    </font>
    <font>
      <sz val="8"/>
      <color indexed="10"/>
      <name val="Arial Narrow"/>
      <family val="2"/>
    </font>
    <font>
      <u/>
      <sz val="9"/>
      <color indexed="10"/>
      <name val="Book Antiqua"/>
      <family val="1"/>
    </font>
    <font>
      <u/>
      <sz val="12"/>
      <color indexed="10"/>
      <name val="Book Antiqua"/>
      <family val="1"/>
    </font>
    <font>
      <sz val="9"/>
      <color indexed="81"/>
      <name val="Arial Narrow"/>
      <family val="2"/>
    </font>
    <font>
      <b/>
      <sz val="8"/>
      <name val="Arial Narrow"/>
      <family val="2"/>
    </font>
    <font>
      <b/>
      <sz val="8"/>
      <color indexed="10"/>
      <name val="Arial Narrow"/>
      <family val="2"/>
    </font>
    <font>
      <b/>
      <sz val="6"/>
      <name val="Arial"/>
      <family val="2"/>
    </font>
    <font>
      <sz val="14"/>
      <name val="Bookman Old Style"/>
      <family val="1"/>
    </font>
    <font>
      <b/>
      <i/>
      <u/>
      <sz val="12"/>
      <name val="Courier Final Draft"/>
      <family val="3"/>
    </font>
    <font>
      <b/>
      <sz val="12"/>
      <name val="Courier Final Draft"/>
      <family val="3"/>
    </font>
    <font>
      <sz val="12"/>
      <name val="Courier Final Draft"/>
      <family val="3"/>
    </font>
    <font>
      <sz val="10"/>
      <name val="Courier Final Draft"/>
      <family val="3"/>
    </font>
    <font>
      <b/>
      <sz val="10"/>
      <name val="Courier Final Draft"/>
      <family val="3"/>
    </font>
    <font>
      <b/>
      <sz val="8"/>
      <name val="Courier Final Draft"/>
      <family val="3"/>
    </font>
    <font>
      <sz val="11"/>
      <name val="Courier Final Draft"/>
      <family val="3"/>
    </font>
    <font>
      <b/>
      <sz val="9"/>
      <name val="Courier Final Draft"/>
      <family val="3"/>
    </font>
    <font>
      <b/>
      <sz val="8"/>
      <color indexed="81"/>
      <name val="Arial Narrow"/>
      <family val="2"/>
    </font>
    <font>
      <i/>
      <sz val="11"/>
      <color indexed="22"/>
      <name val="Copperplate Gothic Light"/>
      <family val="2"/>
    </font>
    <font>
      <b/>
      <sz val="12"/>
      <name val="Arial"/>
      <family val="2"/>
    </font>
    <font>
      <b/>
      <sz val="11"/>
      <color indexed="10"/>
      <name val="Courier Final Draft"/>
      <family val="3"/>
    </font>
    <font>
      <sz val="11"/>
      <color indexed="10"/>
      <name val="Courier Final Draft"/>
      <family val="3"/>
    </font>
    <font>
      <b/>
      <sz val="12"/>
      <color indexed="10"/>
      <name val="Courier Final Draft"/>
      <family val="3"/>
    </font>
    <font>
      <b/>
      <sz val="14"/>
      <color indexed="10"/>
      <name val="Courier Final Draft"/>
      <family val="3"/>
    </font>
    <font>
      <i/>
      <sz val="8"/>
      <name val="Arial"/>
      <family val="2"/>
    </font>
    <font>
      <i/>
      <sz val="10"/>
      <color indexed="20"/>
      <name val="Copperplate Gothic Light"/>
      <family val="2"/>
    </font>
    <font>
      <b/>
      <i/>
      <u/>
      <sz val="10"/>
      <name val="Arial"/>
      <family val="2"/>
    </font>
    <font>
      <b/>
      <sz val="12"/>
      <color indexed="61"/>
      <name val="Arial Narrow"/>
      <family val="2"/>
    </font>
    <font>
      <sz val="10"/>
      <name val="Lucida Fax"/>
      <family val="1"/>
    </font>
    <font>
      <sz val="11"/>
      <name val="Lucida Fax"/>
      <family val="1"/>
    </font>
    <font>
      <b/>
      <sz val="11"/>
      <color indexed="12"/>
      <name val="Arial"/>
      <family val="2"/>
    </font>
    <font>
      <sz val="6"/>
      <name val="Arial"/>
      <family val="2"/>
    </font>
    <font>
      <sz val="8"/>
      <color indexed="63"/>
      <name val="Arial"/>
      <family val="2"/>
    </font>
    <font>
      <i/>
      <sz val="13"/>
      <color indexed="10"/>
      <name val="Arial"/>
      <family val="2"/>
    </font>
    <font>
      <sz val="13"/>
      <name val="Bookman Old Style"/>
      <family val="1"/>
    </font>
    <font>
      <sz val="10"/>
      <color indexed="20"/>
      <name val="Arial Narrow"/>
      <family val="2"/>
    </font>
    <font>
      <b/>
      <sz val="10"/>
      <color indexed="81"/>
      <name val="Tahoma"/>
      <family val="2"/>
    </font>
    <font>
      <b/>
      <sz val="12"/>
      <color indexed="81"/>
      <name val="Arial"/>
      <family val="2"/>
    </font>
    <font>
      <sz val="10"/>
      <name val="Arial CE"/>
      <family val="2"/>
      <charset val="238"/>
    </font>
    <font>
      <sz val="10"/>
      <color indexed="55"/>
      <name val="Lucida Fax"/>
      <family val="1"/>
    </font>
    <font>
      <sz val="10"/>
      <color indexed="10"/>
      <name val="Arial CE"/>
      <family val="2"/>
      <charset val="238"/>
    </font>
    <font>
      <b/>
      <sz val="9"/>
      <color indexed="10"/>
      <name val="Arial Narrow"/>
      <family val="2"/>
    </font>
    <font>
      <sz val="8"/>
      <color indexed="18"/>
      <name val="Arial Narrow"/>
      <family val="2"/>
    </font>
    <font>
      <sz val="10"/>
      <color indexed="22"/>
      <name val="Lucida Fax"/>
      <family val="1"/>
    </font>
    <font>
      <sz val="12"/>
      <color indexed="10"/>
      <name val="Arial Narrow"/>
      <family val="2"/>
    </font>
    <font>
      <b/>
      <sz val="10"/>
      <color indexed="81"/>
      <name val="Arial"/>
      <family val="2"/>
    </font>
    <font>
      <sz val="10"/>
      <color indexed="10"/>
      <name val="Tahoma"/>
      <family val="2"/>
    </font>
    <font>
      <sz val="7"/>
      <name val="Arial Narrow"/>
      <family val="2"/>
    </font>
    <font>
      <sz val="14"/>
      <name val="Corpulent Caps Shadow BRK"/>
    </font>
    <font>
      <sz val="7"/>
      <name val="Calibri"/>
      <family val="2"/>
    </font>
    <font>
      <sz val="7"/>
      <color indexed="21"/>
      <name val="Calibri"/>
      <family val="2"/>
    </font>
    <font>
      <strike/>
      <sz val="10"/>
      <color indexed="23"/>
      <name val="Arial"/>
      <family val="2"/>
    </font>
    <font>
      <sz val="8"/>
      <name val="Lucida Fax"/>
      <family val="1"/>
    </font>
    <font>
      <strike/>
      <sz val="10"/>
      <color indexed="22"/>
      <name val="Arial"/>
      <family val="2"/>
    </font>
    <font>
      <sz val="10"/>
      <name val="Arial"/>
      <family val="2"/>
    </font>
    <font>
      <sz val="16"/>
      <name val="Comic Sans MS"/>
      <family val="4"/>
    </font>
    <font>
      <sz val="10"/>
      <name val="Arial"/>
      <family val="2"/>
    </font>
    <font>
      <sz val="7"/>
      <color indexed="18"/>
      <name val="Arial Narrow"/>
      <family val="2"/>
    </font>
    <font>
      <strike/>
      <sz val="10"/>
      <color indexed="22"/>
      <name val="Lucida Fax"/>
      <family val="1"/>
    </font>
    <font>
      <sz val="8"/>
      <name val="Calibri"/>
      <family val="2"/>
    </font>
    <font>
      <sz val="7"/>
      <name val="Lucida Fax"/>
      <family val="1"/>
    </font>
    <font>
      <sz val="10"/>
      <color indexed="8"/>
      <name val="Lucida Fax"/>
      <family val="1"/>
    </font>
    <font>
      <b/>
      <sz val="10"/>
      <color indexed="9"/>
      <name val="Arial"/>
      <family val="2"/>
    </font>
    <font>
      <b/>
      <sz val="8"/>
      <color indexed="9"/>
      <name val="Verdana"/>
      <family val="2"/>
    </font>
    <font>
      <sz val="10"/>
      <color indexed="12"/>
      <name val="Arial"/>
      <family val="2"/>
    </font>
    <font>
      <sz val="8"/>
      <color indexed="12"/>
      <name val="Verdana"/>
      <family val="2"/>
    </font>
    <font>
      <sz val="11"/>
      <color indexed="18"/>
      <name val="Arial"/>
      <family val="2"/>
    </font>
    <font>
      <strike/>
      <sz val="10"/>
      <color indexed="23"/>
      <name val="Bookman Old Style"/>
      <family val="1"/>
    </font>
    <font>
      <sz val="9"/>
      <color indexed="20"/>
      <name val="Arial"/>
      <family val="2"/>
    </font>
    <font>
      <sz val="8"/>
      <color indexed="19"/>
      <name val="Arial"/>
      <family val="2"/>
    </font>
    <font>
      <sz val="9"/>
      <color indexed="19"/>
      <name val="Arial"/>
      <family val="2"/>
    </font>
    <font>
      <sz val="8"/>
      <color indexed="60"/>
      <name val="Arial"/>
      <family val="2"/>
    </font>
    <font>
      <sz val="9"/>
      <color indexed="60"/>
      <name val="Arial"/>
      <family val="2"/>
    </font>
    <font>
      <b/>
      <sz val="12"/>
      <color indexed="8"/>
      <name val="Arial"/>
      <family val="2"/>
    </font>
    <font>
      <sz val="12"/>
      <color indexed="8"/>
      <name val="Arial"/>
      <family val="2"/>
    </font>
    <font>
      <b/>
      <sz val="9"/>
      <color indexed="10"/>
      <name val="Tahoma"/>
      <family val="2"/>
    </font>
    <font>
      <sz val="9"/>
      <color indexed="10"/>
      <name val="Tahoma"/>
      <family val="2"/>
    </font>
    <font>
      <b/>
      <i/>
      <u/>
      <sz val="10"/>
      <name val="Courier Final Draft"/>
      <family val="3"/>
    </font>
    <font>
      <b/>
      <sz val="10"/>
      <name val="Draft 10cpi"/>
      <family val="3"/>
    </font>
    <font>
      <sz val="10"/>
      <name val="Draft 10cpi"/>
      <family val="3"/>
    </font>
    <font>
      <sz val="9"/>
      <color indexed="10"/>
      <name val="Arial Narrow"/>
      <family val="2"/>
    </font>
    <font>
      <sz val="10"/>
      <name val="Copperplate Gothic Light"/>
      <family val="2"/>
    </font>
    <font>
      <sz val="11"/>
      <name val="Bookman Old Style"/>
      <family val="1"/>
    </font>
    <font>
      <sz val="8"/>
      <name val="Courier Final Draft"/>
    </font>
    <font>
      <sz val="9"/>
      <color indexed="12"/>
      <name val="Tahoma"/>
      <family val="2"/>
    </font>
    <font>
      <sz val="10"/>
      <color indexed="22"/>
      <name val="Arial Narrow"/>
      <family val="2"/>
    </font>
    <font>
      <b/>
      <sz val="10"/>
      <name val="Tahoma"/>
      <family val="2"/>
    </font>
    <font>
      <b/>
      <sz val="14"/>
      <color indexed="55"/>
      <name val="Arial"/>
      <family val="2"/>
    </font>
    <font>
      <sz val="12"/>
      <color indexed="12"/>
      <name val="Bookman Old Style"/>
      <family val="1"/>
    </font>
    <font>
      <b/>
      <sz val="12"/>
      <color indexed="10"/>
      <name val="Arial Baltic"/>
      <family val="2"/>
      <charset val="186"/>
    </font>
    <font>
      <strike/>
      <sz val="11"/>
      <color indexed="22"/>
      <name val="Lucida Fax"/>
      <family val="1"/>
    </font>
    <font>
      <strike/>
      <sz val="7.5"/>
      <color indexed="22"/>
      <name val="Arial"/>
      <family val="2"/>
    </font>
    <font>
      <sz val="8"/>
      <name val="Tahoma"/>
      <family val="2"/>
    </font>
    <font>
      <sz val="12"/>
      <name val="Courier Final Draft"/>
    </font>
    <font>
      <sz val="11"/>
      <color indexed="8"/>
      <name val="Arial"/>
      <family val="2"/>
    </font>
    <font>
      <b/>
      <sz val="10"/>
      <color indexed="61"/>
      <name val="Arial Narrow"/>
      <family val="2"/>
    </font>
    <font>
      <b/>
      <sz val="10"/>
      <name val="Courier"/>
      <family val="3"/>
    </font>
    <font>
      <i/>
      <u/>
      <sz val="10"/>
      <color indexed="55"/>
      <name val="Arial"/>
      <family val="2"/>
    </font>
    <font>
      <sz val="8.5"/>
      <name val="Arial"/>
      <family val="2"/>
    </font>
    <font>
      <sz val="10"/>
      <color indexed="10"/>
      <name val="Courier"/>
      <family val="3"/>
    </font>
    <font>
      <b/>
      <sz val="14"/>
      <color indexed="8"/>
      <name val="Arial"/>
      <family val="2"/>
    </font>
    <font>
      <sz val="14"/>
      <color indexed="8"/>
      <name val="Arial"/>
      <family val="2"/>
    </font>
    <font>
      <sz val="8"/>
      <color indexed="8"/>
      <name val="Arial"/>
      <family val="2"/>
    </font>
    <font>
      <i/>
      <sz val="8"/>
      <color indexed="8"/>
      <name val="Arial"/>
      <family val="2"/>
    </font>
    <font>
      <b/>
      <sz val="10"/>
      <color indexed="10"/>
      <name val="Courier Final Draft"/>
    </font>
    <font>
      <sz val="10"/>
      <name val="Courier Final Draft"/>
    </font>
    <font>
      <i/>
      <sz val="11"/>
      <name val="Copperplate Gothic Light"/>
      <family val="2"/>
    </font>
    <font>
      <b/>
      <sz val="12"/>
      <color indexed="10"/>
      <name val="Tahoma"/>
      <family val="2"/>
    </font>
    <font>
      <sz val="9"/>
      <name val="Lucida Fax"/>
      <family val="1"/>
    </font>
    <font>
      <sz val="11"/>
      <color theme="0" tint="-0.249977111117893"/>
      <name val="Lucida Fax"/>
      <family val="1"/>
    </font>
    <font>
      <sz val="8"/>
      <color theme="0" tint="-0.249977111117893"/>
      <name val="Arial"/>
      <family val="2"/>
    </font>
    <font>
      <sz val="10"/>
      <color theme="0" tint="-0.249977111117893"/>
      <name val="Arial Narrow"/>
      <family val="2"/>
    </font>
    <font>
      <i/>
      <sz val="11"/>
      <color theme="0" tint="-0.249977111117893"/>
      <name val="Copperplate Gothic Light"/>
      <family val="2"/>
    </font>
    <font>
      <i/>
      <strike/>
      <sz val="10"/>
      <color theme="0" tint="-0.249977111117893"/>
      <name val="Copperplate Gothic Light"/>
      <family val="2"/>
    </font>
    <font>
      <sz val="9"/>
      <color theme="0" tint="-0.249977111117893"/>
      <name val="Arial"/>
      <family val="2"/>
    </font>
    <font>
      <sz val="7.5"/>
      <color theme="0" tint="-0.249977111117893"/>
      <name val="Arial"/>
      <family val="2"/>
    </font>
    <font>
      <i/>
      <sz val="8"/>
      <color theme="0" tint="-0.249977111117893"/>
      <name val="Copperplate Gothic Light"/>
      <family val="2"/>
    </font>
    <font>
      <b/>
      <sz val="10"/>
      <color indexed="10"/>
      <name val="Arial Narrow"/>
      <family val="2"/>
    </font>
    <font>
      <sz val="10"/>
      <color theme="4" tint="-0.249977111117893"/>
      <name val="Arial"/>
      <family val="2"/>
    </font>
    <font>
      <sz val="10"/>
      <name val="BatangChe"/>
      <family val="3"/>
    </font>
    <font>
      <sz val="9"/>
      <color indexed="81"/>
      <name val="Calibri"/>
      <family val="2"/>
      <scheme val="minor"/>
    </font>
    <font>
      <b/>
      <sz val="10"/>
      <color indexed="10"/>
      <name val="Calibri"/>
      <family val="2"/>
      <scheme val="minor"/>
    </font>
    <font>
      <sz val="8"/>
      <color indexed="81"/>
      <name val="Calibri"/>
      <family val="2"/>
      <scheme val="minor"/>
    </font>
    <font>
      <sz val="8"/>
      <color indexed="10"/>
      <name val="Calibri"/>
      <family val="2"/>
      <scheme val="minor"/>
    </font>
    <font>
      <sz val="10"/>
      <color rgb="FFFF0000"/>
      <name val="Arial"/>
      <family val="2"/>
    </font>
    <font>
      <b/>
      <sz val="10"/>
      <color rgb="FFFF0000"/>
      <name val="Arial"/>
      <family val="2"/>
    </font>
    <font>
      <sz val="14"/>
      <color indexed="18"/>
      <name val="Berlin Sans FB Demi"/>
      <family val="2"/>
    </font>
    <font>
      <sz val="10"/>
      <color rgb="FF7030A0"/>
      <name val="Arial"/>
      <family val="2"/>
    </font>
    <font>
      <sz val="10"/>
      <color theme="3" tint="-0.249977111117893"/>
      <name val="Arial Narrow"/>
      <family val="2"/>
    </font>
    <font>
      <sz val="10"/>
      <color rgb="FFFF0000"/>
      <name val="Arial Narrow"/>
      <family val="2"/>
    </font>
    <font>
      <b/>
      <sz val="10"/>
      <color rgb="FFFF0000"/>
      <name val="Arial Narrow"/>
      <family val="2"/>
    </font>
    <font>
      <b/>
      <sz val="12"/>
      <color rgb="FFFF0000"/>
      <name val="Arial"/>
      <family val="2"/>
    </font>
    <font>
      <b/>
      <sz val="14"/>
      <color rgb="FFFF0000"/>
      <name val="Arial"/>
      <family val="2"/>
    </font>
    <font>
      <b/>
      <sz val="11"/>
      <color rgb="FFFF0000"/>
      <name val="Arial"/>
      <family val="2"/>
    </font>
    <font>
      <sz val="9"/>
      <color rgb="FFFF0000"/>
      <name val="Arial"/>
      <family val="2"/>
    </font>
    <font>
      <b/>
      <sz val="10"/>
      <name val="BatangChe"/>
      <family val="3"/>
    </font>
    <font>
      <b/>
      <sz val="11"/>
      <color rgb="FFCC0000"/>
      <name val="Dutch801 XBd BT"/>
      <family val="1"/>
    </font>
    <font>
      <sz val="10"/>
      <color rgb="FFC00000"/>
      <name val="Arial"/>
      <family val="2"/>
    </font>
    <font>
      <b/>
      <sz val="10"/>
      <color rgb="FFC00000"/>
      <name val="Arial"/>
      <family val="2"/>
    </font>
    <font>
      <sz val="8"/>
      <name val="BatangChe"/>
      <family val="3"/>
    </font>
    <font>
      <sz val="11"/>
      <color rgb="FF990099"/>
      <name val="Lucida Fax"/>
      <family val="1"/>
    </font>
    <font>
      <sz val="8"/>
      <color rgb="FF990099"/>
      <name val="Arial"/>
      <family val="2"/>
    </font>
    <font>
      <i/>
      <u/>
      <sz val="11"/>
      <name val="Arial"/>
      <family val="2"/>
    </font>
    <font>
      <i/>
      <u/>
      <sz val="11"/>
      <name val="Courier"/>
      <family val="3"/>
    </font>
    <font>
      <sz val="11"/>
      <name val="Courier"/>
      <family val="3"/>
    </font>
    <font>
      <b/>
      <sz val="8"/>
      <name val="Calibri"/>
      <family val="2"/>
      <scheme val="minor"/>
    </font>
    <font>
      <b/>
      <sz val="10"/>
      <name val="Calibri"/>
      <family val="2"/>
      <scheme val="minor"/>
    </font>
    <font>
      <sz val="9"/>
      <color theme="0" tint="-0.34998626667073579"/>
      <name val="Arial"/>
      <family val="2"/>
    </font>
    <font>
      <sz val="11"/>
      <color theme="0" tint="-0.34998626667073579"/>
      <name val="Bookman Old Style"/>
      <family val="1"/>
    </font>
    <font>
      <b/>
      <u/>
      <sz val="16"/>
      <name val="Arial"/>
      <family val="2"/>
    </font>
    <font>
      <vertAlign val="superscript"/>
      <sz val="12"/>
      <name val="Arial"/>
      <family val="2"/>
    </font>
    <font>
      <b/>
      <sz val="11"/>
      <name val="Arial Narrow"/>
      <family val="2"/>
    </font>
    <font>
      <sz val="20"/>
      <name val="Arial"/>
      <family val="2"/>
    </font>
    <font>
      <i/>
      <sz val="18"/>
      <name val="Arial"/>
      <family val="2"/>
    </font>
    <font>
      <b/>
      <sz val="12"/>
      <color theme="1"/>
      <name val="Arial"/>
      <family val="2"/>
    </font>
    <font>
      <b/>
      <sz val="11"/>
      <color theme="1"/>
      <name val="Arial"/>
      <family val="2"/>
    </font>
    <font>
      <b/>
      <sz val="14"/>
      <color theme="1"/>
      <name val="Arial"/>
      <family val="2"/>
    </font>
    <font>
      <sz val="12"/>
      <color theme="1"/>
      <name val="Arial"/>
      <family val="2"/>
    </font>
    <font>
      <sz val="8"/>
      <name val="Draft 15cpi"/>
      <family val="3"/>
    </font>
    <font>
      <b/>
      <sz val="8"/>
      <name val="Draft 15cpi"/>
      <family val="3"/>
    </font>
    <font>
      <b/>
      <sz val="8"/>
      <color rgb="FFFF0000"/>
      <name val="Draft 15cpi"/>
      <family val="3"/>
    </font>
    <font>
      <sz val="10"/>
      <name val="Draft 15cpi"/>
      <family val="3"/>
    </font>
    <font>
      <b/>
      <sz val="10"/>
      <name val="Draft 15cpi"/>
      <family val="3"/>
    </font>
    <font>
      <sz val="10"/>
      <color theme="1"/>
      <name val="Draft 15cpi"/>
      <family val="3"/>
    </font>
    <font>
      <sz val="10"/>
      <color rgb="FFFF0000"/>
      <name val="Draft 15cpi"/>
      <family val="3"/>
    </font>
    <font>
      <u/>
      <sz val="10"/>
      <name val="Draft 15cpi"/>
      <family val="3"/>
    </font>
    <font>
      <b/>
      <sz val="10"/>
      <color rgb="FF0000FF"/>
      <name val="Calibri"/>
      <family val="2"/>
      <scheme val="minor"/>
    </font>
    <font>
      <sz val="10"/>
      <color rgb="FF0000FF"/>
      <name val="Arial"/>
      <family val="2"/>
    </font>
    <font>
      <b/>
      <sz val="9"/>
      <color rgb="FF0000FF"/>
      <name val="Arial"/>
      <family val="2"/>
    </font>
    <font>
      <b/>
      <sz val="10"/>
      <color rgb="FFFF0000"/>
      <name val="Draft 15cpi"/>
      <family val="3"/>
    </font>
    <font>
      <i/>
      <sz val="10"/>
      <color rgb="FFFF0000"/>
      <name val="Arial"/>
      <family val="2"/>
    </font>
    <font>
      <sz val="10"/>
      <color rgb="FF0000FF"/>
      <name val="Draft 15cpi"/>
      <family val="3"/>
    </font>
    <font>
      <b/>
      <sz val="10"/>
      <color rgb="FF0000FF"/>
      <name val="Draft 15cpi"/>
      <family val="3"/>
    </font>
    <font>
      <sz val="10"/>
      <color rgb="FF6600FF"/>
      <name val="Draft 15cpi"/>
      <family val="3"/>
    </font>
    <font>
      <b/>
      <sz val="10"/>
      <color rgb="FF6600FF"/>
      <name val="Draft 15cpi"/>
      <family val="3"/>
    </font>
    <font>
      <sz val="10"/>
      <color rgb="FF6600FF"/>
      <name val="Arial"/>
      <family val="2"/>
    </font>
    <font>
      <i/>
      <sz val="10"/>
      <color rgb="FF6600FF"/>
      <name val="Arial"/>
      <family val="2"/>
    </font>
    <font>
      <sz val="8"/>
      <color rgb="FFFF0000"/>
      <name val="Draft 15cpi"/>
      <family val="3"/>
    </font>
    <font>
      <b/>
      <sz val="6"/>
      <name val="Draft 15cpi"/>
      <family val="3"/>
    </font>
    <font>
      <b/>
      <i/>
      <sz val="9"/>
      <color rgb="FF6600FF"/>
      <name val="Arial"/>
      <family val="2"/>
    </font>
    <font>
      <b/>
      <sz val="10"/>
      <color theme="0" tint="-0.14999847407452621"/>
      <name val="Draft 15cpi"/>
      <family val="3"/>
    </font>
    <font>
      <sz val="10"/>
      <color theme="0" tint="-0.14999847407452621"/>
      <name val="Draft 15cpi"/>
      <family val="3"/>
    </font>
    <font>
      <b/>
      <sz val="8"/>
      <color rgb="FF6600FF"/>
      <name val="Book Antiqua"/>
      <family val="1"/>
    </font>
    <font>
      <sz val="10"/>
      <color rgb="FF0033CC"/>
      <name val="Draft 15cpi"/>
      <family val="3"/>
    </font>
    <font>
      <b/>
      <sz val="10"/>
      <color rgb="FF0033CC"/>
      <name val="Draft 15cpi"/>
      <family val="3"/>
    </font>
    <font>
      <b/>
      <i/>
      <sz val="8"/>
      <name val="Arial"/>
      <family val="2"/>
    </font>
    <font>
      <sz val="8"/>
      <color rgb="FF0033CC"/>
      <name val="Draft 15cpi"/>
      <family val="3"/>
    </font>
    <font>
      <sz val="8"/>
      <color rgb="FF333333"/>
      <name val="Verdana"/>
      <family val="2"/>
    </font>
    <font>
      <sz val="8"/>
      <color rgb="FF0000FF"/>
      <name val="Draft 15cpi"/>
      <family val="3"/>
    </font>
    <font>
      <i/>
      <sz val="9"/>
      <color rgb="FF6600FF"/>
      <name val="Arial"/>
      <family val="2"/>
    </font>
    <font>
      <sz val="9"/>
      <color rgb="FFFF0000"/>
      <name val="Draft 15cpi"/>
      <family val="3"/>
    </font>
    <font>
      <sz val="9"/>
      <name val="Draft 15cpi"/>
      <family val="3"/>
    </font>
    <font>
      <sz val="9"/>
      <color rgb="FF0000FF"/>
      <name val="Draft 15cpi"/>
      <family val="3"/>
    </font>
    <font>
      <sz val="9"/>
      <name val="Draft 15cpi"/>
      <family val="3"/>
    </font>
    <font>
      <b/>
      <i/>
      <sz val="10"/>
      <color rgb="FFFF0000"/>
      <name val="Arial"/>
      <family val="2"/>
    </font>
    <font>
      <sz val="8"/>
      <color rgb="FFFF0000"/>
      <name val="Draft 15cpi"/>
      <family val="3"/>
    </font>
    <font>
      <sz val="10"/>
      <name val="Centaur"/>
      <family val="1"/>
    </font>
    <font>
      <sz val="11"/>
      <name val="Centaur"/>
      <family val="1"/>
    </font>
    <font>
      <b/>
      <sz val="8"/>
      <color indexed="10"/>
      <name val="Tahoma"/>
      <family val="2"/>
    </font>
    <font>
      <b/>
      <sz val="7"/>
      <color rgb="FF0000FF"/>
      <name val="Arial"/>
      <family val="2"/>
    </font>
    <font>
      <sz val="7"/>
      <color rgb="FF0000FF"/>
      <name val="Arial"/>
      <family val="2"/>
    </font>
    <font>
      <sz val="11"/>
      <color rgb="FFFF0000"/>
      <name val="Arial"/>
      <family val="2"/>
    </font>
    <font>
      <sz val="12"/>
      <color rgb="FFFF0000"/>
      <name val="Arial"/>
      <family val="2"/>
    </font>
    <font>
      <sz val="11"/>
      <color rgb="FF99CC00"/>
      <name val="Lucida Fax"/>
      <family val="1"/>
    </font>
    <font>
      <sz val="8"/>
      <color rgb="FF99CC00"/>
      <name val="Arial"/>
      <family val="2"/>
    </font>
    <font>
      <i/>
      <sz val="10"/>
      <color theme="0" tint="-0.249977111117893"/>
      <name val="Copperplate Gothic Light"/>
      <family val="2"/>
    </font>
    <font>
      <i/>
      <sz val="10"/>
      <color theme="0" tint="-0.249977111117893"/>
      <name val="Arial Narrow"/>
      <family val="2"/>
    </font>
    <font>
      <sz val="7"/>
      <color rgb="FFC00000"/>
      <name val="Arial"/>
      <family val="2"/>
    </font>
    <font>
      <sz val="7.5"/>
      <color rgb="FFC00000"/>
      <name val="Arial"/>
      <family val="2"/>
    </font>
    <font>
      <sz val="8"/>
      <name val="Calibri"/>
      <family val="2"/>
      <scheme val="minor"/>
    </font>
    <font>
      <sz val="8"/>
      <color indexed="18"/>
      <name val="Calibri"/>
      <family val="2"/>
      <scheme val="minor"/>
    </font>
    <font>
      <b/>
      <sz val="11"/>
      <color rgb="FF0000FF"/>
      <name val="Verdana"/>
      <family val="2"/>
    </font>
    <font>
      <sz val="11"/>
      <color rgb="FF0000FF"/>
      <name val="Arial"/>
      <family val="2"/>
    </font>
    <font>
      <sz val="11"/>
      <color theme="2" tint="-0.499984740745262"/>
      <name val="Arial"/>
      <family val="2"/>
    </font>
    <font>
      <sz val="11"/>
      <color theme="0" tint="-0.14999847407452621"/>
      <name val="Arial"/>
      <family val="2"/>
    </font>
    <font>
      <b/>
      <sz val="8"/>
      <color indexed="81"/>
      <name val="Arial"/>
      <family val="2"/>
    </font>
    <font>
      <sz val="10"/>
      <color rgb="FF9900CC"/>
      <name val="Arial"/>
      <family val="2"/>
    </font>
    <font>
      <sz val="10"/>
      <name val="Cambria"/>
      <family val="1"/>
      <scheme val="major"/>
    </font>
    <font>
      <sz val="10"/>
      <color rgb="FF339966"/>
      <name val="Arial Narrow"/>
      <family val="2"/>
    </font>
    <font>
      <sz val="10"/>
      <color theme="6" tint="-0.249977111117893"/>
      <name val="Arial Narrow"/>
      <family val="2"/>
    </font>
    <font>
      <sz val="10"/>
      <color theme="0" tint="-0.34998626667073579"/>
      <name val="Arial"/>
      <family val="2"/>
    </font>
    <font>
      <sz val="10"/>
      <color theme="1"/>
      <name val="Draft 12cpi"/>
      <family val="3"/>
    </font>
    <font>
      <i/>
      <sz val="11"/>
      <color theme="1"/>
      <name val="Calibri"/>
      <family val="2"/>
      <scheme val="minor"/>
    </font>
    <font>
      <sz val="11"/>
      <name val="Calibri"/>
      <family val="2"/>
      <scheme val="minor"/>
    </font>
    <font>
      <i/>
      <sz val="8"/>
      <color theme="1"/>
      <name val="Calibri"/>
      <family val="2"/>
      <scheme val="minor"/>
    </font>
    <font>
      <sz val="11"/>
      <color theme="0" tint="-0.34998626667073579"/>
      <name val="Arial"/>
      <family val="2"/>
    </font>
    <font>
      <i/>
      <sz val="11"/>
      <color rgb="FFFF66CC"/>
      <name val="Calibri"/>
      <family val="2"/>
      <scheme val="minor"/>
    </font>
    <font>
      <b/>
      <sz val="11"/>
      <color rgb="FFFF66CC"/>
      <name val="Arial"/>
      <family val="2"/>
    </font>
    <font>
      <sz val="11"/>
      <color rgb="FFFF66CC"/>
      <name val="Arial"/>
      <family val="2"/>
    </font>
    <font>
      <sz val="8"/>
      <color rgb="FFFF0000"/>
      <name val="Calibri"/>
      <family val="2"/>
      <scheme val="minor"/>
    </font>
    <font>
      <b/>
      <u/>
      <sz val="8"/>
      <color rgb="FFFF0000"/>
      <name val="Calibri"/>
      <family val="2"/>
      <scheme val="minor"/>
    </font>
    <font>
      <b/>
      <i/>
      <sz val="8"/>
      <color theme="1" tint="0.249977111117893"/>
      <name val="Arial"/>
      <family val="2"/>
    </font>
    <font>
      <i/>
      <sz val="9"/>
      <color rgb="FFFF0000"/>
      <name val="Arial"/>
      <family val="2"/>
    </font>
    <font>
      <i/>
      <sz val="9"/>
      <color rgb="FFFF0000"/>
      <name val="Calibri"/>
      <family val="2"/>
      <scheme val="minor"/>
    </font>
    <font>
      <b/>
      <sz val="10"/>
      <color theme="1" tint="0.249977111117893"/>
      <name val="Arial"/>
      <family val="2"/>
    </font>
    <font>
      <b/>
      <sz val="10"/>
      <color rgb="FF008000"/>
      <name val="Arial"/>
      <family val="2"/>
    </font>
    <font>
      <sz val="9"/>
      <color rgb="FF3399FF"/>
      <name val="Arial"/>
      <family val="2"/>
    </font>
    <font>
      <sz val="11"/>
      <color theme="3" tint="0.39997558519241921"/>
      <name val="Lucida Fax"/>
      <family val="1"/>
    </font>
    <font>
      <sz val="7.5"/>
      <color theme="3" tint="0.39997558519241921"/>
      <name val="Arial"/>
      <family val="2"/>
    </font>
    <font>
      <i/>
      <sz val="9"/>
      <color rgb="FF0000FF"/>
      <name val="Arial Narrow"/>
      <family val="2"/>
    </font>
    <font>
      <b/>
      <sz val="16"/>
      <color rgb="FF9900CC"/>
      <name val="Bookman Old Style"/>
      <family val="1"/>
    </font>
    <font>
      <sz val="10"/>
      <color rgb="FF00B0F0"/>
      <name val="Comic Sans MS"/>
      <family val="4"/>
    </font>
    <font>
      <sz val="10"/>
      <color theme="1" tint="0.499984740745262"/>
      <name val="Arial"/>
      <family val="2"/>
    </font>
    <font>
      <b/>
      <sz val="10"/>
      <name val="Arial"/>
      <family val="2"/>
    </font>
    <font>
      <sz val="6"/>
      <name val="Calibri"/>
      <family val="2"/>
      <scheme val="minor"/>
    </font>
    <font>
      <sz val="8"/>
      <color theme="3" tint="0.39997558519241921"/>
      <name val="Calibri"/>
      <family val="2"/>
      <scheme val="minor"/>
    </font>
    <font>
      <b/>
      <sz val="8"/>
      <color rgb="FFFF0000"/>
      <name val="Arial"/>
      <family val="2"/>
    </font>
    <font>
      <sz val="11"/>
      <color theme="2" tint="-0.249977111117893"/>
      <name val="Lucida Fax"/>
      <family val="1"/>
    </font>
    <font>
      <sz val="7.5"/>
      <color rgb="FF00B050"/>
      <name val="Arial"/>
      <family val="2"/>
    </font>
    <font>
      <sz val="9"/>
      <color rgb="FF00B050"/>
      <name val="Arial"/>
      <family val="2"/>
    </font>
    <font>
      <sz val="10"/>
      <color rgb="FF00B050"/>
      <name val="Arial Narrow"/>
      <family val="2"/>
    </font>
    <font>
      <sz val="8"/>
      <color theme="0" tint="-0.34998626667073579"/>
      <name val="Arial"/>
      <family val="2"/>
    </font>
    <font>
      <sz val="10"/>
      <color theme="0" tint="-0.34998626667073579"/>
      <name val="Courier Final Draft"/>
      <family val="3"/>
    </font>
    <font>
      <i/>
      <sz val="8"/>
      <color theme="0" tint="-0.34998626667073579"/>
      <name val="Arial"/>
      <family val="2"/>
    </font>
    <font>
      <b/>
      <sz val="14"/>
      <color theme="0" tint="-0.34998626667073579"/>
      <name val="Arial"/>
      <family val="2"/>
    </font>
    <font>
      <b/>
      <sz val="10"/>
      <color theme="0" tint="-0.34998626667073579"/>
      <name val="Arial"/>
      <family val="2"/>
    </font>
    <font>
      <b/>
      <sz val="11"/>
      <color theme="0" tint="-0.34998626667073579"/>
      <name val="Arial"/>
      <family val="2"/>
    </font>
    <font>
      <sz val="10"/>
      <color rgb="FFC00000"/>
      <name val="Arial Rounded MT Bold"/>
      <family val="2"/>
    </font>
    <font>
      <sz val="9"/>
      <color rgb="FFC00000"/>
      <name val="Arial Rounded MT Bold"/>
      <family val="2"/>
    </font>
    <font>
      <b/>
      <sz val="10"/>
      <color rgb="FF00B050"/>
      <name val="Arial"/>
      <family val="2"/>
    </font>
    <font>
      <b/>
      <sz val="10"/>
      <name val="Arial CE"/>
      <family val="2"/>
      <charset val="238"/>
    </font>
    <font>
      <b/>
      <sz val="10"/>
      <color rgb="FF00B050"/>
      <name val="Arial CE"/>
      <family val="2"/>
      <charset val="238"/>
    </font>
    <font>
      <sz val="13"/>
      <color rgb="FF4A4A4A"/>
      <name val="Segoe UI"/>
      <family val="2"/>
    </font>
    <font>
      <sz val="10"/>
      <color rgb="FFFF0066"/>
      <name val="Arial"/>
      <family val="2"/>
    </font>
    <font>
      <b/>
      <sz val="10"/>
      <color rgb="FFFF0066"/>
      <name val="Arial"/>
      <family val="2"/>
    </font>
    <font>
      <i/>
      <sz val="11"/>
      <color rgb="FFFF0000"/>
      <name val="Bookman Old Style"/>
      <family val="1"/>
    </font>
    <font>
      <sz val="10"/>
      <color rgb="FF007E00"/>
      <name val="Arial"/>
      <family val="2"/>
    </font>
    <font>
      <b/>
      <i/>
      <u/>
      <sz val="12"/>
      <color rgb="FF008000"/>
      <name val="Arial"/>
      <family val="2"/>
    </font>
    <font>
      <i/>
      <u/>
      <sz val="9"/>
      <color rgb="FF0070C0"/>
      <name val="Calibri"/>
      <family val="2"/>
      <scheme val="minor"/>
    </font>
    <font>
      <sz val="10"/>
      <color rgb="FF000000"/>
      <name val="Arial"/>
      <family val="2"/>
    </font>
    <font>
      <b/>
      <u/>
      <sz val="10"/>
      <color rgb="FF0000FF"/>
      <name val="Arial"/>
      <family val="2"/>
    </font>
    <font>
      <b/>
      <sz val="10"/>
      <color rgb="FF0000FF"/>
      <name val="Arial"/>
      <family val="2"/>
    </font>
    <font>
      <b/>
      <i/>
      <sz val="10"/>
      <color rgb="FFCC0000"/>
      <name val="Arial"/>
      <family val="2"/>
    </font>
    <font>
      <i/>
      <sz val="10"/>
      <color rgb="FFCC0000"/>
      <name val="Arial"/>
      <family val="2"/>
    </font>
    <font>
      <sz val="9.5"/>
      <color rgb="FFC00000"/>
      <name val="Arial"/>
      <family val="2"/>
    </font>
    <font>
      <sz val="8"/>
      <color rgb="FFC00000"/>
      <name val="Arial"/>
      <family val="2"/>
    </font>
    <font>
      <sz val="9"/>
      <color rgb="FFC00000"/>
      <name val="Arial"/>
      <family val="2"/>
    </font>
    <font>
      <sz val="11"/>
      <color rgb="FFC00000"/>
      <name val="Arial"/>
      <family val="2"/>
    </font>
    <font>
      <sz val="8"/>
      <color rgb="FF007E00"/>
      <name val="Arial"/>
      <family val="2"/>
    </font>
    <font>
      <sz val="9"/>
      <color rgb="FF0000FF"/>
      <name val="Arial"/>
      <family val="2"/>
    </font>
    <font>
      <sz val="8"/>
      <color rgb="FF0000FF"/>
      <name val="Arial"/>
      <family val="2"/>
    </font>
    <font>
      <sz val="11"/>
      <color rgb="FF777777"/>
      <name val="Georgia"/>
      <family val="1"/>
    </font>
    <font>
      <sz val="8"/>
      <color rgb="FFFF0000"/>
      <name val="Arial"/>
      <family val="2"/>
    </font>
    <font>
      <i/>
      <sz val="8"/>
      <color rgb="FFFF0000"/>
      <name val="Arial"/>
      <family val="2"/>
    </font>
    <font>
      <sz val="9"/>
      <color indexed="44"/>
      <name val="Tahoma"/>
      <family val="2"/>
    </font>
    <font>
      <b/>
      <sz val="12"/>
      <color rgb="FF0033CC"/>
      <name val="Arial Narrow"/>
      <family val="2"/>
    </font>
    <font>
      <sz val="10"/>
      <color rgb="FF00B0F0"/>
      <name val="Arial"/>
      <family val="2"/>
    </font>
    <font>
      <b/>
      <sz val="11"/>
      <color indexed="10"/>
      <name val="Calibri"/>
      <family val="2"/>
      <scheme val="minor"/>
    </font>
    <font>
      <sz val="9"/>
      <color rgb="FF1A30FE"/>
      <name val="Arial"/>
      <family val="2"/>
    </font>
    <font>
      <sz val="9.5"/>
      <color rgb="FF007E00"/>
      <name val="Arial"/>
      <family val="2"/>
    </font>
    <font>
      <sz val="9"/>
      <color rgb="FF007E00"/>
      <name val="Arial"/>
      <family val="2"/>
    </font>
    <font>
      <sz val="11"/>
      <color rgb="FF007E00"/>
      <name val="Arial"/>
      <family val="2"/>
    </font>
    <font>
      <b/>
      <i/>
      <sz val="11"/>
      <name val="Copperplate Gothic Light"/>
      <family val="2"/>
    </font>
    <font>
      <b/>
      <sz val="10"/>
      <color rgb="FFCC0000"/>
      <name val="Arial Narrow"/>
      <family val="2"/>
    </font>
    <font>
      <sz val="10"/>
      <color rgb="FFCC0000"/>
      <name val="Arial Narrow"/>
      <family val="2"/>
    </font>
    <font>
      <sz val="9"/>
      <color rgb="FF7030A0"/>
      <name val="Arial"/>
      <family val="2"/>
    </font>
    <font>
      <i/>
      <sz val="11"/>
      <color rgb="FF7030A0"/>
      <name val="Bookman Old Style"/>
      <family val="1"/>
    </font>
  </fonts>
  <fills count="38">
    <fill>
      <patternFill patternType="none"/>
    </fill>
    <fill>
      <patternFill patternType="gray125"/>
    </fill>
    <fill>
      <patternFill patternType="solid">
        <fgColor indexed="43"/>
        <bgColor indexed="64"/>
      </patternFill>
    </fill>
    <fill>
      <patternFill patternType="solid">
        <fgColor indexed="22"/>
        <bgColor indexed="64"/>
      </patternFill>
    </fill>
    <fill>
      <patternFill patternType="solid">
        <fgColor indexed="40"/>
        <bgColor indexed="64"/>
      </patternFill>
    </fill>
    <fill>
      <patternFill patternType="solid">
        <fgColor indexed="41"/>
        <bgColor indexed="64"/>
      </patternFill>
    </fill>
    <fill>
      <patternFill patternType="solid">
        <fgColor indexed="42"/>
        <bgColor indexed="64"/>
      </patternFill>
    </fill>
    <fill>
      <patternFill patternType="solid">
        <fgColor indexed="26"/>
        <bgColor indexed="64"/>
      </patternFill>
    </fill>
    <fill>
      <patternFill patternType="solid">
        <fgColor indexed="27"/>
        <bgColor indexed="64"/>
      </patternFill>
    </fill>
    <fill>
      <patternFill patternType="solid">
        <fgColor indexed="26"/>
        <bgColor indexed="26"/>
      </patternFill>
    </fill>
    <fill>
      <patternFill patternType="solid">
        <fgColor indexed="9"/>
        <bgColor indexed="64"/>
      </patternFill>
    </fill>
    <fill>
      <patternFill patternType="solid">
        <fgColor indexed="31"/>
        <bgColor indexed="64"/>
      </patternFill>
    </fill>
    <fill>
      <patternFill patternType="solid">
        <fgColor indexed="47"/>
        <bgColor indexed="64"/>
      </patternFill>
    </fill>
    <fill>
      <patternFill patternType="solid">
        <fgColor indexed="10"/>
        <bgColor indexed="64"/>
      </patternFill>
    </fill>
    <fill>
      <patternFill patternType="solid">
        <fgColor indexed="13"/>
        <bgColor indexed="64"/>
      </patternFill>
    </fill>
    <fill>
      <patternFill patternType="gray0625">
        <fgColor indexed="10"/>
      </patternFill>
    </fill>
    <fill>
      <patternFill patternType="solid">
        <fgColor rgb="FFF4F8EE"/>
        <bgColor indexed="64"/>
      </patternFill>
    </fill>
    <fill>
      <patternFill patternType="solid">
        <fgColor rgb="FFFFFFCC"/>
        <bgColor indexed="64"/>
      </patternFill>
    </fill>
    <fill>
      <patternFill patternType="solid">
        <fgColor auto="1"/>
        <bgColor indexed="64"/>
      </patternFill>
    </fill>
    <fill>
      <patternFill patternType="solid">
        <fgColor rgb="FFFFFF00"/>
        <bgColor indexed="64"/>
      </patternFill>
    </fill>
    <fill>
      <patternFill patternType="solid">
        <fgColor rgb="FFCCFFFF"/>
        <bgColor indexed="64"/>
      </patternFill>
    </fill>
    <fill>
      <patternFill patternType="solid">
        <fgColor theme="0"/>
        <bgColor indexed="64"/>
      </patternFill>
    </fill>
    <fill>
      <patternFill patternType="solid">
        <fgColor rgb="FFCCECFF"/>
        <bgColor indexed="64"/>
      </patternFill>
    </fill>
    <fill>
      <patternFill patternType="solid">
        <fgColor rgb="FFCCFF99"/>
        <bgColor indexed="64"/>
      </patternFill>
    </fill>
    <fill>
      <patternFill patternType="solid">
        <fgColor rgb="FFFFCCFF"/>
        <bgColor indexed="64"/>
      </patternFill>
    </fill>
    <fill>
      <patternFill patternType="gray0625"/>
    </fill>
    <fill>
      <patternFill patternType="solid">
        <fgColor theme="9" tint="0.79998168889431442"/>
        <bgColor indexed="64"/>
      </patternFill>
    </fill>
    <fill>
      <patternFill patternType="solid">
        <fgColor rgb="FF92D050"/>
        <bgColor indexed="64"/>
      </patternFill>
    </fill>
    <fill>
      <patternFill patternType="lightGrid">
        <fgColor theme="0" tint="-0.14996795556505021"/>
        <bgColor theme="0" tint="-4.9989318521683403E-2"/>
      </patternFill>
    </fill>
    <fill>
      <patternFill patternType="solid">
        <fgColor rgb="FFCCFFCC"/>
        <bgColor indexed="64"/>
      </patternFill>
    </fill>
    <fill>
      <patternFill patternType="lightGrid">
        <fgColor theme="5" tint="0.59996337778862885"/>
        <bgColor rgb="FFFFFFFF"/>
      </patternFill>
    </fill>
    <fill>
      <patternFill patternType="lightGrid">
        <fgColor theme="2" tint="-0.24994659260841701"/>
        <bgColor rgb="FFFFFFFF"/>
      </patternFill>
    </fill>
    <fill>
      <patternFill patternType="lightGrid">
        <fgColor theme="8" tint="0.59996337778862885"/>
        <bgColor indexed="65"/>
      </patternFill>
    </fill>
    <fill>
      <patternFill patternType="lightGrid">
        <fgColor theme="7" tint="0.79998168889431442"/>
        <bgColor indexed="65"/>
      </patternFill>
    </fill>
    <fill>
      <patternFill patternType="lightGrid">
        <fgColor theme="2" tint="-9.9948118533890809E-2"/>
        <bgColor theme="0" tint="-4.9989318521683403E-2"/>
      </patternFill>
    </fill>
    <fill>
      <patternFill patternType="lightGray">
        <fgColor rgb="FF00CC00"/>
        <bgColor auto="1"/>
      </patternFill>
    </fill>
    <fill>
      <patternFill patternType="gray0625">
        <fgColor rgb="FF00CC00"/>
      </patternFill>
    </fill>
    <fill>
      <patternFill patternType="gray125">
        <fgColor rgb="FF7030A0"/>
      </patternFill>
    </fill>
  </fills>
  <borders count="187">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double">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style="medium">
        <color indexed="64"/>
      </top>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style="medium">
        <color indexed="64"/>
      </left>
      <right style="thin">
        <color indexed="64"/>
      </right>
      <top style="thin">
        <color indexed="64"/>
      </top>
      <bottom style="double">
        <color indexed="64"/>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double">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right style="medium">
        <color indexed="64"/>
      </right>
      <top/>
      <bottom style="thin">
        <color indexed="64"/>
      </bottom>
      <diagonal/>
    </border>
    <border>
      <left/>
      <right style="medium">
        <color indexed="64"/>
      </right>
      <top style="medium">
        <color indexed="64"/>
      </top>
      <bottom/>
      <diagonal/>
    </border>
    <border>
      <left/>
      <right style="medium">
        <color indexed="64"/>
      </right>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double">
        <color indexed="10"/>
      </bottom>
      <diagonal/>
    </border>
    <border>
      <left style="thin">
        <color indexed="64"/>
      </left>
      <right style="medium">
        <color indexed="64"/>
      </right>
      <top style="thin">
        <color indexed="64"/>
      </top>
      <bottom style="double">
        <color indexed="10"/>
      </bottom>
      <diagonal/>
    </border>
    <border>
      <left/>
      <right style="thin">
        <color indexed="64"/>
      </right>
      <top style="thin">
        <color indexed="64"/>
      </top>
      <bottom style="double">
        <color indexed="10"/>
      </bottom>
      <diagonal/>
    </border>
    <border>
      <left style="thin">
        <color indexed="64"/>
      </left>
      <right style="thin">
        <color indexed="64"/>
      </right>
      <top style="thin">
        <color indexed="64"/>
      </top>
      <bottom style="double">
        <color indexed="10"/>
      </bottom>
      <diagonal/>
    </border>
    <border>
      <left style="thin">
        <color indexed="64"/>
      </left>
      <right/>
      <top style="thin">
        <color indexed="64"/>
      </top>
      <bottom style="double">
        <color indexed="10"/>
      </bottom>
      <diagonal/>
    </border>
    <border>
      <left style="medium">
        <color indexed="64"/>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right/>
      <top/>
      <bottom style="thin">
        <color indexed="10"/>
      </bottom>
      <diagonal/>
    </border>
    <border>
      <left/>
      <right style="thin">
        <color indexed="10"/>
      </right>
      <top/>
      <bottom style="thin">
        <color indexed="10"/>
      </bottom>
      <diagonal/>
    </border>
    <border>
      <left style="medium">
        <color indexed="64"/>
      </left>
      <right style="thin">
        <color indexed="10"/>
      </right>
      <top style="thin">
        <color indexed="10"/>
      </top>
      <bottom style="medium">
        <color indexed="64"/>
      </bottom>
      <diagonal/>
    </border>
    <border>
      <left style="thin">
        <color indexed="10"/>
      </left>
      <right style="thin">
        <color indexed="10"/>
      </right>
      <top style="thin">
        <color indexed="10"/>
      </top>
      <bottom style="medium">
        <color indexed="64"/>
      </bottom>
      <diagonal/>
    </border>
    <border>
      <left style="thin">
        <color indexed="10"/>
      </left>
      <right style="medium">
        <color indexed="64"/>
      </right>
      <top style="thin">
        <color indexed="10"/>
      </top>
      <bottom style="medium">
        <color indexed="64"/>
      </bottom>
      <diagonal/>
    </border>
    <border diagonalUp="1" diagonalDown="1">
      <left/>
      <right/>
      <top style="thin">
        <color indexed="10"/>
      </top>
      <bottom/>
      <diagonal style="thin">
        <color indexed="10"/>
      </diagonal>
    </border>
    <border diagonalUp="1" diagonalDown="1">
      <left/>
      <right style="thin">
        <color indexed="10"/>
      </right>
      <top style="thin">
        <color indexed="10"/>
      </top>
      <bottom/>
      <diagonal style="thin">
        <color indexed="10"/>
      </diagonal>
    </border>
    <border diagonalUp="1" diagonalDown="1">
      <left/>
      <right/>
      <top/>
      <bottom/>
      <diagonal style="thin">
        <color indexed="10"/>
      </diagonal>
    </border>
    <border diagonalUp="1" diagonalDown="1">
      <left/>
      <right style="thin">
        <color indexed="10"/>
      </right>
      <top/>
      <bottom/>
      <diagonal style="thin">
        <color indexed="10"/>
      </diagonal>
    </border>
    <border diagonalUp="1" diagonalDown="1">
      <left style="thin">
        <color indexed="10"/>
      </left>
      <right/>
      <top/>
      <bottom style="thin">
        <color indexed="10"/>
      </bottom>
      <diagonal style="thin">
        <color indexed="10"/>
      </diagonal>
    </border>
    <border>
      <left style="thick">
        <color indexed="10"/>
      </left>
      <right style="thick">
        <color indexed="10"/>
      </right>
      <top style="thick">
        <color indexed="10"/>
      </top>
      <bottom style="thick">
        <color indexed="10"/>
      </bottom>
      <diagonal/>
    </border>
    <border>
      <left style="thin">
        <color indexed="10"/>
      </left>
      <right/>
      <top style="thick">
        <color indexed="10"/>
      </top>
      <bottom/>
      <diagonal/>
    </border>
    <border>
      <left style="thin">
        <color indexed="64"/>
      </left>
      <right/>
      <top style="thin">
        <color indexed="64"/>
      </top>
      <bottom style="dotted">
        <color indexed="22"/>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double">
        <color indexed="10"/>
      </right>
      <top/>
      <bottom style="thin">
        <color indexed="64"/>
      </bottom>
      <diagonal/>
    </border>
    <border>
      <left style="thin">
        <color indexed="64"/>
      </left>
      <right style="double">
        <color indexed="10"/>
      </right>
      <top style="thin">
        <color indexed="64"/>
      </top>
      <bottom style="thin">
        <color indexed="64"/>
      </bottom>
      <diagonal/>
    </border>
    <border>
      <left style="thin">
        <color indexed="64"/>
      </left>
      <right/>
      <top style="medium">
        <color indexed="64"/>
      </top>
      <bottom/>
      <diagonal/>
    </border>
    <border>
      <left/>
      <right style="medium">
        <color indexed="64"/>
      </right>
      <top style="thin">
        <color indexed="64"/>
      </top>
      <bottom/>
      <diagonal/>
    </border>
    <border>
      <left style="medium">
        <color indexed="64"/>
      </left>
      <right/>
      <top style="medium">
        <color indexed="64"/>
      </top>
      <bottom style="medium">
        <color indexed="64"/>
      </bottom>
      <diagonal/>
    </border>
    <border>
      <left style="medium">
        <color indexed="64"/>
      </left>
      <right/>
      <top/>
      <bottom/>
      <diagonal/>
    </border>
    <border>
      <left style="thin">
        <color indexed="64"/>
      </left>
      <right style="double">
        <color indexed="10"/>
      </right>
      <top style="medium">
        <color indexed="64"/>
      </top>
      <bottom style="medium">
        <color indexed="64"/>
      </bottom>
      <diagonal/>
    </border>
    <border>
      <left style="thin">
        <color indexed="64"/>
      </left>
      <right style="double">
        <color indexed="64"/>
      </right>
      <top style="thin">
        <color indexed="64"/>
      </top>
      <bottom style="thin">
        <color indexed="64"/>
      </bottom>
      <diagonal/>
    </border>
    <border>
      <left style="thin">
        <color indexed="10"/>
      </left>
      <right/>
      <top/>
      <bottom/>
      <diagonal/>
    </border>
    <border>
      <left/>
      <right style="thin">
        <color indexed="10"/>
      </right>
      <top/>
      <bottom/>
      <diagonal/>
    </border>
    <border>
      <left style="thin">
        <color indexed="10"/>
      </left>
      <right/>
      <top/>
      <bottom style="thin">
        <color indexed="10"/>
      </bottom>
      <diagonal/>
    </border>
    <border>
      <left style="thin">
        <color indexed="10"/>
      </left>
      <right/>
      <top style="thin">
        <color indexed="10"/>
      </top>
      <bottom/>
      <diagonal/>
    </border>
    <border>
      <left/>
      <right/>
      <top style="thin">
        <color indexed="10"/>
      </top>
      <bottom/>
      <diagonal/>
    </border>
    <border>
      <left/>
      <right style="thin">
        <color indexed="10"/>
      </right>
      <top style="thin">
        <color indexed="10"/>
      </top>
      <bottom/>
      <diagonal/>
    </border>
    <border>
      <left style="double">
        <color indexed="10"/>
      </left>
      <right style="double">
        <color indexed="10"/>
      </right>
      <top style="double">
        <color indexed="10"/>
      </top>
      <bottom style="double">
        <color indexed="10"/>
      </bottom>
      <diagonal/>
    </border>
    <border>
      <left style="thin">
        <color indexed="64"/>
      </left>
      <right style="double">
        <color indexed="10"/>
      </right>
      <top style="thin">
        <color indexed="64"/>
      </top>
      <bottom/>
      <diagonal/>
    </border>
    <border>
      <left/>
      <right style="medium">
        <color indexed="64"/>
      </right>
      <top style="thin">
        <color indexed="64"/>
      </top>
      <bottom style="thin">
        <color indexed="64"/>
      </bottom>
      <diagonal/>
    </border>
    <border>
      <left style="thin">
        <color indexed="10"/>
      </left>
      <right style="thick">
        <color indexed="10"/>
      </right>
      <top style="thin">
        <color indexed="10"/>
      </top>
      <bottom style="thin">
        <color indexed="10"/>
      </bottom>
      <diagonal/>
    </border>
    <border>
      <left style="double">
        <color indexed="10"/>
      </left>
      <right/>
      <top style="double">
        <color indexed="10"/>
      </top>
      <bottom/>
      <diagonal/>
    </border>
    <border>
      <left/>
      <right/>
      <top style="double">
        <color indexed="10"/>
      </top>
      <bottom/>
      <diagonal/>
    </border>
    <border>
      <left/>
      <right style="double">
        <color indexed="10"/>
      </right>
      <top style="double">
        <color indexed="10"/>
      </top>
      <bottom/>
      <diagonal/>
    </border>
    <border>
      <left style="double">
        <color indexed="10"/>
      </left>
      <right/>
      <top/>
      <bottom/>
      <diagonal/>
    </border>
    <border>
      <left/>
      <right style="double">
        <color indexed="10"/>
      </right>
      <top/>
      <bottom/>
      <diagonal/>
    </border>
    <border>
      <left style="double">
        <color indexed="10"/>
      </left>
      <right/>
      <top/>
      <bottom style="double">
        <color indexed="10"/>
      </bottom>
      <diagonal/>
    </border>
    <border>
      <left/>
      <right/>
      <top/>
      <bottom style="double">
        <color indexed="10"/>
      </bottom>
      <diagonal/>
    </border>
    <border>
      <left/>
      <right style="double">
        <color indexed="10"/>
      </right>
      <top/>
      <bottom style="double">
        <color indexed="10"/>
      </bottom>
      <diagonal/>
    </border>
    <border>
      <left style="thin">
        <color indexed="64"/>
      </left>
      <right/>
      <top/>
      <bottom style="medium">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dotted">
        <color indexed="10"/>
      </right>
      <top/>
      <bottom/>
      <diagonal/>
    </border>
    <border>
      <left/>
      <right/>
      <top/>
      <bottom style="dotted">
        <color indexed="10"/>
      </bottom>
      <diagonal/>
    </border>
    <border>
      <left/>
      <right style="dotted">
        <color indexed="10"/>
      </right>
      <top/>
      <bottom style="dotted">
        <color indexed="10"/>
      </bottom>
      <diagonal/>
    </border>
    <border>
      <left/>
      <right style="double">
        <color indexed="64"/>
      </right>
      <top style="thin">
        <color indexed="64"/>
      </top>
      <bottom style="thin">
        <color indexed="64"/>
      </bottom>
      <diagonal/>
    </border>
    <border>
      <left style="medium">
        <color indexed="64"/>
      </left>
      <right/>
      <top style="medium">
        <color indexed="64"/>
      </top>
      <bottom style="thin">
        <color indexed="64"/>
      </bottom>
      <diagonal/>
    </border>
    <border>
      <left style="thin">
        <color indexed="64"/>
      </left>
      <right style="double">
        <color indexed="64"/>
      </right>
      <top/>
      <bottom style="thin">
        <color indexed="64"/>
      </bottom>
      <diagonal/>
    </border>
    <border>
      <left/>
      <right/>
      <top/>
      <bottom style="dotted">
        <color indexed="22"/>
      </bottom>
      <diagonal/>
    </border>
    <border>
      <left style="medium">
        <color indexed="64"/>
      </left>
      <right/>
      <top style="thin">
        <color indexed="64"/>
      </top>
      <bottom/>
      <diagonal/>
    </border>
    <border>
      <left style="thin">
        <color indexed="64"/>
      </left>
      <right style="double">
        <color indexed="64"/>
      </right>
      <top style="thin">
        <color indexed="64"/>
      </top>
      <bottom/>
      <diagonal/>
    </border>
    <border>
      <left style="thin">
        <color indexed="64"/>
      </left>
      <right style="double">
        <color indexed="64"/>
      </right>
      <top/>
      <bottom/>
      <diagonal/>
    </border>
    <border>
      <left style="thick">
        <color indexed="37"/>
      </left>
      <right style="thin">
        <color indexed="16"/>
      </right>
      <top style="thick">
        <color indexed="37"/>
      </top>
      <bottom style="thick">
        <color indexed="37"/>
      </bottom>
      <diagonal/>
    </border>
    <border>
      <left style="thin">
        <color indexed="16"/>
      </left>
      <right style="thin">
        <color indexed="16"/>
      </right>
      <top style="thick">
        <color indexed="37"/>
      </top>
      <bottom style="thick">
        <color indexed="37"/>
      </bottom>
      <diagonal/>
    </border>
    <border>
      <left style="thin">
        <color indexed="16"/>
      </left>
      <right style="thick">
        <color indexed="37"/>
      </right>
      <top style="thick">
        <color indexed="37"/>
      </top>
      <bottom style="thick">
        <color indexed="37"/>
      </bottom>
      <diagonal/>
    </border>
    <border>
      <left style="thin">
        <color indexed="16"/>
      </left>
      <right/>
      <top/>
      <bottom style="thin">
        <color indexed="16"/>
      </bottom>
      <diagonal/>
    </border>
    <border>
      <left/>
      <right/>
      <top/>
      <bottom style="thin">
        <color indexed="16"/>
      </bottom>
      <diagonal/>
    </border>
    <border>
      <left/>
      <right style="thin">
        <color indexed="16"/>
      </right>
      <top/>
      <bottom style="thin">
        <color indexed="16"/>
      </bottom>
      <diagonal/>
    </border>
    <border>
      <left style="thin">
        <color indexed="16"/>
      </left>
      <right style="thin">
        <color indexed="16"/>
      </right>
      <top style="thin">
        <color indexed="16"/>
      </top>
      <bottom style="thin">
        <color indexed="16"/>
      </bottom>
      <diagonal/>
    </border>
    <border>
      <left style="thin">
        <color indexed="16"/>
      </left>
      <right style="thin">
        <color indexed="16"/>
      </right>
      <top/>
      <bottom style="thin">
        <color indexed="16"/>
      </bottom>
      <diagonal/>
    </border>
    <border>
      <left style="medium">
        <color indexed="64"/>
      </left>
      <right style="medium">
        <color indexed="64"/>
      </right>
      <top style="thin">
        <color indexed="64"/>
      </top>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double">
        <color indexed="64"/>
      </bottom>
      <diagonal/>
    </border>
    <border>
      <left style="thin">
        <color indexed="64"/>
      </left>
      <right/>
      <top/>
      <bottom style="double">
        <color indexed="64"/>
      </bottom>
      <diagonal/>
    </border>
    <border>
      <left style="medium">
        <color rgb="FFFF0000"/>
      </left>
      <right style="medium">
        <color rgb="FFFF0000"/>
      </right>
      <top style="medium">
        <color rgb="FFFF0000"/>
      </top>
      <bottom style="thin">
        <color indexed="64"/>
      </bottom>
      <diagonal/>
    </border>
    <border>
      <left style="medium">
        <color rgb="FFFF0000"/>
      </left>
      <right style="medium">
        <color rgb="FFFF0000"/>
      </right>
      <top/>
      <bottom style="thin">
        <color indexed="64"/>
      </bottom>
      <diagonal/>
    </border>
    <border>
      <left style="medium">
        <color rgb="FFFF0000"/>
      </left>
      <right style="medium">
        <color rgb="FFFF0000"/>
      </right>
      <top style="thin">
        <color indexed="64"/>
      </top>
      <bottom style="thin">
        <color indexed="64"/>
      </bottom>
      <diagonal/>
    </border>
    <border>
      <left style="medium">
        <color rgb="FFFF0000"/>
      </left>
      <right style="medium">
        <color rgb="FFFF0000"/>
      </right>
      <top style="thin">
        <color indexed="64"/>
      </top>
      <bottom style="medium">
        <color rgb="FFFF0000"/>
      </bottom>
      <diagonal/>
    </border>
    <border>
      <left style="thin">
        <color indexed="64"/>
      </left>
      <right style="thin">
        <color indexed="64"/>
      </right>
      <top style="double">
        <color indexed="64"/>
      </top>
      <bottom style="double">
        <color indexed="64"/>
      </bottom>
      <diagonal/>
    </border>
    <border>
      <left style="mediumDashDot">
        <color auto="1"/>
      </left>
      <right/>
      <top/>
      <bottom/>
      <diagonal/>
    </border>
    <border>
      <left/>
      <right/>
      <top style="thin">
        <color auto="1"/>
      </top>
      <bottom style="thin">
        <color auto="1"/>
      </bottom>
      <diagonal/>
    </border>
    <border>
      <left style="mediumDashDot">
        <color auto="1"/>
      </left>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mediumDashDot">
        <color auto="1"/>
      </right>
      <top/>
      <bottom style="thin">
        <color indexed="64"/>
      </bottom>
      <diagonal/>
    </border>
    <border>
      <left/>
      <right style="mediumDashDot">
        <color auto="1"/>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right/>
      <top style="thin">
        <color indexed="64"/>
      </top>
      <bottom/>
      <diagonal/>
    </border>
    <border>
      <left style="medium">
        <color rgb="FFFF0000"/>
      </left>
      <right/>
      <top style="thin">
        <color indexed="64"/>
      </top>
      <bottom style="medium">
        <color indexed="64"/>
      </bottom>
      <diagonal/>
    </border>
    <border>
      <left/>
      <right/>
      <top style="medium">
        <color rgb="FFDDDDDD"/>
      </top>
      <bottom/>
      <diagonal/>
    </border>
    <border>
      <left style="medium">
        <color indexed="64"/>
      </left>
      <right style="medium">
        <color rgb="FF505254"/>
      </right>
      <top style="medium">
        <color indexed="64"/>
      </top>
      <bottom style="medium">
        <color indexed="64"/>
      </bottom>
      <diagonal/>
    </border>
    <border>
      <left style="medium">
        <color rgb="FF505254"/>
      </left>
      <right style="medium">
        <color rgb="FF505254"/>
      </right>
      <top style="medium">
        <color indexed="64"/>
      </top>
      <bottom style="medium">
        <color indexed="64"/>
      </bottom>
      <diagonal/>
    </border>
    <border>
      <left style="medium">
        <color rgb="FF505254"/>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style="thin">
        <color rgb="FFC00000"/>
      </left>
      <right/>
      <top style="thin">
        <color rgb="FFC00000"/>
      </top>
      <bottom/>
      <diagonal/>
    </border>
    <border>
      <left/>
      <right/>
      <top style="thin">
        <color rgb="FFC00000"/>
      </top>
      <bottom/>
      <diagonal/>
    </border>
    <border>
      <left style="thin">
        <color indexed="64"/>
      </left>
      <right style="thin">
        <color indexed="64"/>
      </right>
      <top style="thin">
        <color rgb="FFC00000"/>
      </top>
      <bottom style="thin">
        <color indexed="64"/>
      </bottom>
      <diagonal/>
    </border>
    <border>
      <left/>
      <right style="thin">
        <color rgb="FFC00000"/>
      </right>
      <top style="thin">
        <color rgb="FFC00000"/>
      </top>
      <bottom/>
      <diagonal/>
    </border>
    <border>
      <left style="thin">
        <color rgb="FFC00000"/>
      </left>
      <right/>
      <top/>
      <bottom/>
      <diagonal/>
    </border>
    <border>
      <left/>
      <right style="thin">
        <color rgb="FFC00000"/>
      </right>
      <top/>
      <bottom/>
      <diagonal/>
    </border>
    <border>
      <left style="thin">
        <color rgb="FFC00000"/>
      </left>
      <right/>
      <top/>
      <bottom style="thin">
        <color rgb="FFC00000"/>
      </bottom>
      <diagonal/>
    </border>
    <border>
      <left/>
      <right/>
      <top/>
      <bottom style="thin">
        <color rgb="FFC00000"/>
      </bottom>
      <diagonal/>
    </border>
    <border>
      <left style="thin">
        <color indexed="64"/>
      </left>
      <right style="thin">
        <color indexed="64"/>
      </right>
      <top/>
      <bottom style="thin">
        <color rgb="FFC00000"/>
      </bottom>
      <diagonal/>
    </border>
    <border>
      <left/>
      <right style="thin">
        <color rgb="FFC00000"/>
      </right>
      <top/>
      <bottom style="thin">
        <color rgb="FFC00000"/>
      </bottom>
      <diagonal/>
    </border>
  </borders>
  <cellStyleXfs count="11">
    <xf numFmtId="0" fontId="0" fillId="0" borderId="0"/>
    <xf numFmtId="0" fontId="13" fillId="0" borderId="0"/>
    <xf numFmtId="171" fontId="2" fillId="0" borderId="0" applyFont="0" applyFill="0" applyBorder="0" applyAlignment="0" applyProtection="0"/>
    <xf numFmtId="165" fontId="2" fillId="0" borderId="0" applyFont="0" applyFill="0" applyBorder="0" applyAlignment="0" applyProtection="0"/>
    <xf numFmtId="0" fontId="15" fillId="0" borderId="0" applyNumberFormat="0" applyFill="0" applyBorder="0" applyAlignment="0" applyProtection="0">
      <alignment vertical="top"/>
      <protection locked="0"/>
    </xf>
    <xf numFmtId="166" fontId="2" fillId="0" borderId="0" applyFont="0" applyFill="0" applyBorder="0" applyAlignment="0" applyProtection="0"/>
    <xf numFmtId="166" fontId="2" fillId="0" borderId="0" applyFont="0" applyFill="0" applyBorder="0" applyAlignment="0" applyProtection="0"/>
    <xf numFmtId="165" fontId="2" fillId="0" borderId="0" applyFont="0" applyFill="0" applyBorder="0" applyAlignment="0" applyProtection="0"/>
    <xf numFmtId="0" fontId="258" fillId="0" borderId="0"/>
    <xf numFmtId="9" fontId="2" fillId="0" borderId="0" applyFont="0" applyFill="0" applyBorder="0" applyAlignment="0" applyProtection="0"/>
    <xf numFmtId="0" fontId="1" fillId="0" borderId="0"/>
  </cellStyleXfs>
  <cellXfs count="4165">
    <xf numFmtId="0" fontId="0" fillId="0" borderId="0" xfId="0"/>
    <xf numFmtId="0" fontId="5" fillId="0" borderId="0" xfId="0" applyFont="1"/>
    <xf numFmtId="0" fontId="7" fillId="0" borderId="0" xfId="0" applyFont="1"/>
    <xf numFmtId="167" fontId="4" fillId="0" borderId="0" xfId="5" applyNumberFormat="1" applyFont="1" applyFill="1" applyBorder="1" applyAlignment="1">
      <alignment horizontal="center" vertical="center"/>
    </xf>
    <xf numFmtId="169" fontId="0" fillId="0" borderId="0" xfId="0" applyNumberFormat="1"/>
    <xf numFmtId="14" fontId="4" fillId="0" borderId="1" xfId="5" applyNumberFormat="1" applyFont="1" applyFill="1" applyBorder="1" applyAlignment="1">
      <alignment horizontal="center" vertical="center"/>
    </xf>
    <xf numFmtId="0" fontId="3" fillId="0" borderId="0" xfId="0" applyFont="1" applyFill="1" applyBorder="1" applyAlignment="1">
      <alignment horizontal="center"/>
    </xf>
    <xf numFmtId="0" fontId="0" fillId="0" borderId="1" xfId="0" applyBorder="1"/>
    <xf numFmtId="0" fontId="0" fillId="0" borderId="0" xfId="0" applyAlignment="1">
      <alignment horizontal="center"/>
    </xf>
    <xf numFmtId="0" fontId="0" fillId="0" borderId="1" xfId="0" applyBorder="1" applyAlignment="1">
      <alignment horizontal="center"/>
    </xf>
    <xf numFmtId="0" fontId="10" fillId="0" borderId="1" xfId="0" applyFont="1" applyFill="1" applyBorder="1" applyAlignment="1">
      <alignment horizontal="center" vertical="center"/>
    </xf>
    <xf numFmtId="0" fontId="11" fillId="0" borderId="1" xfId="0" applyFont="1" applyBorder="1"/>
    <xf numFmtId="0" fontId="11" fillId="0" borderId="0" xfId="0" applyFont="1"/>
    <xf numFmtId="0" fontId="13" fillId="0" borderId="0" xfId="0" applyFont="1"/>
    <xf numFmtId="0" fontId="14" fillId="0" borderId="0" xfId="0" applyFont="1"/>
    <xf numFmtId="0" fontId="16" fillId="0" borderId="0" xfId="0" applyFont="1" applyAlignment="1">
      <alignment horizontal="center"/>
    </xf>
    <xf numFmtId="0" fontId="16" fillId="0" borderId="0" xfId="0" applyFont="1" applyAlignment="1">
      <alignment horizontal="left"/>
    </xf>
    <xf numFmtId="0" fontId="17" fillId="0" borderId="0" xfId="0" applyFont="1"/>
    <xf numFmtId="0" fontId="17" fillId="0" borderId="0" xfId="0" applyFont="1" applyAlignment="1">
      <alignment horizontal="right"/>
    </xf>
    <xf numFmtId="166" fontId="17" fillId="0" borderId="1" xfId="5" applyFont="1" applyBorder="1"/>
    <xf numFmtId="0" fontId="19" fillId="0" borderId="0" xfId="0" applyFont="1" applyAlignment="1">
      <alignment horizontal="left"/>
    </xf>
    <xf numFmtId="0" fontId="18" fillId="0" borderId="0" xfId="0" applyFont="1" applyAlignment="1">
      <alignment horizontal="left"/>
    </xf>
    <xf numFmtId="166" fontId="2" fillId="0" borderId="0" xfId="5"/>
    <xf numFmtId="14" fontId="20" fillId="0" borderId="0" xfId="0" applyNumberFormat="1" applyFont="1"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0" fillId="0" borderId="6" xfId="0" applyFill="1" applyBorder="1" applyAlignment="1">
      <alignment horizontal="center"/>
    </xf>
    <xf numFmtId="167" fontId="0" fillId="0" borderId="3" xfId="0" applyNumberFormat="1" applyBorder="1" applyAlignment="1">
      <alignment horizontal="center"/>
    </xf>
    <xf numFmtId="0" fontId="0" fillId="0" borderId="7" xfId="0" applyBorder="1"/>
    <xf numFmtId="0" fontId="0" fillId="0" borderId="8" xfId="0" applyBorder="1" applyAlignment="1">
      <alignment horizontal="center"/>
    </xf>
    <xf numFmtId="167" fontId="0" fillId="0" borderId="1" xfId="0" applyNumberFormat="1" applyBorder="1" applyAlignment="1">
      <alignment horizontal="center"/>
    </xf>
    <xf numFmtId="0" fontId="0" fillId="0" borderId="9" xfId="0" applyBorder="1"/>
    <xf numFmtId="0" fontId="21" fillId="0" borderId="9" xfId="0" applyFont="1" applyBorder="1" applyAlignment="1">
      <alignment horizontal="center"/>
    </xf>
    <xf numFmtId="167" fontId="0" fillId="0" borderId="5" xfId="0" applyNumberFormat="1" applyBorder="1" applyAlignment="1">
      <alignment horizontal="center"/>
    </xf>
    <xf numFmtId="0" fontId="21" fillId="0" borderId="6" xfId="0" applyFont="1"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167" fontId="0" fillId="0" borderId="11" xfId="0" applyNumberFormat="1" applyBorder="1" applyAlignment="1">
      <alignment horizontal="center"/>
    </xf>
    <xf numFmtId="166" fontId="2" fillId="0" borderId="11" xfId="5" applyFont="1" applyBorder="1" applyAlignment="1">
      <alignment horizontal="left"/>
    </xf>
    <xf numFmtId="166" fontId="2" fillId="0" borderId="11" xfId="5" applyBorder="1" applyAlignment="1">
      <alignment horizontal="left"/>
    </xf>
    <xf numFmtId="0" fontId="0" fillId="0" borderId="12" xfId="0" applyBorder="1"/>
    <xf numFmtId="0" fontId="0" fillId="0" borderId="6" xfId="0" applyBorder="1"/>
    <xf numFmtId="167" fontId="0" fillId="0" borderId="0" xfId="0" applyNumberFormat="1" applyAlignment="1">
      <alignment horizontal="center"/>
    </xf>
    <xf numFmtId="0" fontId="0" fillId="0" borderId="13" xfId="0" applyBorder="1" applyAlignment="1">
      <alignment horizontal="left" vertical="center"/>
    </xf>
    <xf numFmtId="0" fontId="0" fillId="0" borderId="14" xfId="0" applyBorder="1" applyAlignment="1">
      <alignment horizontal="center" vertical="center"/>
    </xf>
    <xf numFmtId="0" fontId="0" fillId="0" borderId="15" xfId="0" applyBorder="1" applyAlignment="1">
      <alignment horizontal="center" vertical="center"/>
    </xf>
    <xf numFmtId="0" fontId="0" fillId="0" borderId="15" xfId="0" applyBorder="1" applyAlignment="1">
      <alignment horizontal="left" vertical="center"/>
    </xf>
    <xf numFmtId="166" fontId="2" fillId="0" borderId="15" xfId="5" applyBorder="1" applyAlignment="1">
      <alignment horizontal="left" vertical="center"/>
    </xf>
    <xf numFmtId="0" fontId="0" fillId="0" borderId="16" xfId="0" applyBorder="1" applyAlignment="1">
      <alignment horizontal="center" vertical="center"/>
    </xf>
    <xf numFmtId="0" fontId="0" fillId="0" borderId="17" xfId="0" applyBorder="1" applyAlignment="1">
      <alignment horizontal="center"/>
    </xf>
    <xf numFmtId="14" fontId="0" fillId="0" borderId="18" xfId="0" applyNumberFormat="1" applyBorder="1" applyAlignment="1">
      <alignment horizontal="center"/>
    </xf>
    <xf numFmtId="0" fontId="0" fillId="0" borderId="19" xfId="0" applyBorder="1" applyAlignment="1">
      <alignment horizontal="center"/>
    </xf>
    <xf numFmtId="0" fontId="0" fillId="0" borderId="19" xfId="0" applyBorder="1"/>
    <xf numFmtId="166" fontId="2" fillId="0" borderId="19" xfId="5" applyBorder="1"/>
    <xf numFmtId="0" fontId="10" fillId="0" borderId="20" xfId="0" applyFont="1" applyBorder="1" applyAlignment="1">
      <alignment horizontal="center"/>
    </xf>
    <xf numFmtId="0" fontId="0" fillId="0" borderId="21" xfId="0" applyBorder="1" applyAlignment="1">
      <alignment horizontal="center"/>
    </xf>
    <xf numFmtId="14" fontId="0" fillId="0" borderId="22" xfId="0" applyNumberFormat="1" applyBorder="1" applyAlignment="1">
      <alignment horizontal="center"/>
    </xf>
    <xf numFmtId="166" fontId="2" fillId="0" borderId="1" xfId="5" applyBorder="1"/>
    <xf numFmtId="0" fontId="10" fillId="0" borderId="9" xfId="0" applyFont="1" applyBorder="1" applyAlignment="1">
      <alignment horizontal="center"/>
    </xf>
    <xf numFmtId="0" fontId="0" fillId="0" borderId="23" xfId="0" applyBorder="1" applyAlignment="1">
      <alignment horizontal="center"/>
    </xf>
    <xf numFmtId="14" fontId="0" fillId="0" borderId="24" xfId="0" applyNumberFormat="1" applyBorder="1" applyAlignment="1">
      <alignment horizontal="center"/>
    </xf>
    <xf numFmtId="0" fontId="0" fillId="0" borderId="5" xfId="0" applyBorder="1"/>
    <xf numFmtId="166" fontId="2" fillId="0" borderId="5" xfId="5" applyBorder="1"/>
    <xf numFmtId="0" fontId="10" fillId="0" borderId="6" xfId="0" applyFont="1" applyBorder="1" applyAlignment="1">
      <alignment horizontal="center"/>
    </xf>
    <xf numFmtId="14" fontId="0" fillId="0" borderId="0" xfId="0" applyNumberFormat="1" applyAlignment="1">
      <alignment horizontal="center"/>
    </xf>
    <xf numFmtId="166" fontId="5" fillId="0" borderId="25" xfId="5" applyFont="1" applyBorder="1"/>
    <xf numFmtId="4" fontId="0" fillId="0" borderId="0" xfId="0" applyNumberFormat="1"/>
    <xf numFmtId="14" fontId="0" fillId="0" borderId="0" xfId="0" applyNumberFormat="1"/>
    <xf numFmtId="0" fontId="25" fillId="0" borderId="0" xfId="0" applyFont="1"/>
    <xf numFmtId="4" fontId="0" fillId="0" borderId="0" xfId="0" applyNumberFormat="1" applyAlignment="1">
      <alignment horizontal="center"/>
    </xf>
    <xf numFmtId="0" fontId="0" fillId="0" borderId="26" xfId="0" applyBorder="1" applyAlignment="1">
      <alignment horizontal="center"/>
    </xf>
    <xf numFmtId="0" fontId="0" fillId="0" borderId="0" xfId="0" applyAlignment="1">
      <alignment horizontal="left"/>
    </xf>
    <xf numFmtId="49" fontId="0" fillId="0" borderId="0" xfId="0" applyNumberFormat="1" applyAlignment="1">
      <alignment horizontal="center"/>
    </xf>
    <xf numFmtId="0" fontId="0" fillId="0" borderId="0" xfId="0" applyBorder="1"/>
    <xf numFmtId="0" fontId="0" fillId="0" borderId="0" xfId="0" applyBorder="1" applyAlignment="1">
      <alignment horizontal="left"/>
    </xf>
    <xf numFmtId="0" fontId="0" fillId="0" borderId="27" xfId="0" applyBorder="1"/>
    <xf numFmtId="0" fontId="0" fillId="0" borderId="0" xfId="0" applyBorder="1" applyAlignment="1">
      <alignment horizontal="right"/>
    </xf>
    <xf numFmtId="0" fontId="0" fillId="0" borderId="28" xfId="0" applyBorder="1"/>
    <xf numFmtId="0" fontId="0" fillId="0" borderId="29" xfId="0" applyBorder="1"/>
    <xf numFmtId="0" fontId="0" fillId="0" borderId="29" xfId="0" applyBorder="1" applyAlignment="1">
      <alignment horizontal="left"/>
    </xf>
    <xf numFmtId="0" fontId="0" fillId="0" borderId="30" xfId="0" applyBorder="1"/>
    <xf numFmtId="0" fontId="0" fillId="0" borderId="22" xfId="0" applyBorder="1"/>
    <xf numFmtId="0" fontId="6" fillId="0" borderId="1" xfId="0" applyFont="1" applyFill="1" applyBorder="1" applyAlignment="1">
      <alignment horizontal="center" vertical="center"/>
    </xf>
    <xf numFmtId="0" fontId="7" fillId="0" borderId="1" xfId="0" applyFont="1" applyBorder="1" applyAlignment="1">
      <alignment horizontal="center"/>
    </xf>
    <xf numFmtId="14" fontId="28" fillId="0" borderId="1" xfId="5" applyNumberFormat="1" applyFont="1" applyFill="1" applyBorder="1" applyAlignment="1">
      <alignment horizontal="center" vertical="center"/>
    </xf>
    <xf numFmtId="0" fontId="30" fillId="0" borderId="1" xfId="0" applyFont="1" applyFill="1" applyBorder="1" applyAlignment="1">
      <alignment horizontal="center" vertical="center"/>
    </xf>
    <xf numFmtId="0" fontId="22" fillId="0" borderId="1" xfId="0" applyFont="1" applyBorder="1" applyAlignment="1">
      <alignment horizontal="center"/>
    </xf>
    <xf numFmtId="0" fontId="0" fillId="0" borderId="31" xfId="0" applyBorder="1" applyAlignment="1">
      <alignment horizontal="center"/>
    </xf>
    <xf numFmtId="166" fontId="0" fillId="0" borderId="0" xfId="5" applyFont="1"/>
    <xf numFmtId="166" fontId="0" fillId="0" borderId="0" xfId="0" applyNumberFormat="1"/>
    <xf numFmtId="166" fontId="26" fillId="0" borderId="0" xfId="5" applyFont="1" applyBorder="1"/>
    <xf numFmtId="0" fontId="0" fillId="0" borderId="0" xfId="0" applyBorder="1" applyAlignment="1">
      <alignment horizontal="center"/>
    </xf>
    <xf numFmtId="0" fontId="7" fillId="0" borderId="0" xfId="0" applyFont="1" applyBorder="1" applyAlignment="1">
      <alignment horizontal="center"/>
    </xf>
    <xf numFmtId="0" fontId="0" fillId="0" borderId="32" xfId="0" applyBorder="1" applyAlignment="1">
      <alignment horizontal="center"/>
    </xf>
    <xf numFmtId="0" fontId="0" fillId="0" borderId="0" xfId="0" applyAlignment="1">
      <alignment vertical="center"/>
    </xf>
    <xf numFmtId="0" fontId="0" fillId="0" borderId="0" xfId="0" applyAlignment="1">
      <alignment horizontal="center" vertical="center"/>
    </xf>
    <xf numFmtId="0" fontId="22" fillId="0" borderId="0" xfId="0" applyFont="1"/>
    <xf numFmtId="4" fontId="22" fillId="0" borderId="0" xfId="0" applyNumberFormat="1" applyFont="1" applyAlignment="1">
      <alignment horizontal="center"/>
    </xf>
    <xf numFmtId="15" fontId="22" fillId="0" borderId="0" xfId="0" applyNumberFormat="1" applyFont="1" applyAlignment="1">
      <alignment horizontal="center"/>
    </xf>
    <xf numFmtId="4" fontId="22" fillId="0" borderId="1" xfId="0" applyNumberFormat="1" applyFont="1" applyBorder="1" applyAlignment="1">
      <alignment horizontal="center"/>
    </xf>
    <xf numFmtId="0" fontId="22" fillId="0" borderId="1" xfId="0" applyFont="1" applyBorder="1"/>
    <xf numFmtId="14" fontId="22" fillId="0" borderId="1" xfId="0" applyNumberFormat="1" applyFont="1" applyBorder="1"/>
    <xf numFmtId="4" fontId="22" fillId="0" borderId="1" xfId="0" applyNumberFormat="1" applyFont="1" applyBorder="1" applyAlignment="1"/>
    <xf numFmtId="1" fontId="22" fillId="0" borderId="0" xfId="5" applyNumberFormat="1" applyFont="1" applyAlignment="1">
      <alignment horizontal="center"/>
    </xf>
    <xf numFmtId="0" fontId="16" fillId="0" borderId="0" xfId="0" applyFont="1"/>
    <xf numFmtId="1" fontId="22" fillId="0" borderId="1" xfId="5" applyNumberFormat="1" applyFont="1" applyBorder="1" applyAlignment="1">
      <alignment horizontal="center" vertical="center"/>
    </xf>
    <xf numFmtId="1" fontId="22" fillId="0" borderId="0" xfId="0" applyNumberFormat="1" applyFont="1"/>
    <xf numFmtId="0" fontId="17" fillId="0" borderId="5" xfId="0" applyFont="1" applyBorder="1" applyAlignment="1">
      <alignment horizontal="center" vertical="center"/>
    </xf>
    <xf numFmtId="0" fontId="17" fillId="0" borderId="0" xfId="0" applyFont="1" applyBorder="1" applyAlignment="1">
      <alignment horizontal="left"/>
    </xf>
    <xf numFmtId="0" fontId="22" fillId="0" borderId="0" xfId="0" applyFont="1" applyBorder="1" applyAlignment="1">
      <alignment horizontal="center"/>
    </xf>
    <xf numFmtId="0" fontId="22" fillId="0" borderId="0" xfId="0" applyFont="1" applyBorder="1"/>
    <xf numFmtId="14" fontId="22" fillId="0" borderId="0" xfId="0" applyNumberFormat="1" applyFont="1" applyBorder="1"/>
    <xf numFmtId="1" fontId="34" fillId="0" borderId="19" xfId="5" applyNumberFormat="1" applyFont="1" applyBorder="1" applyAlignment="1">
      <alignment horizontal="center"/>
    </xf>
    <xf numFmtId="0" fontId="34" fillId="0" borderId="19" xfId="0" applyFont="1" applyBorder="1" applyAlignment="1">
      <alignment horizontal="center"/>
    </xf>
    <xf numFmtId="1" fontId="22" fillId="0" borderId="5" xfId="5" applyNumberFormat="1" applyFont="1" applyBorder="1" applyAlignment="1">
      <alignment horizontal="center" vertical="center"/>
    </xf>
    <xf numFmtId="0" fontId="17" fillId="0" borderId="1" xfId="0" applyFont="1" applyBorder="1" applyAlignment="1">
      <alignment horizontal="center" vertical="center"/>
    </xf>
    <xf numFmtId="1" fontId="22" fillId="0" borderId="3" xfId="5" applyNumberFormat="1" applyFont="1" applyBorder="1" applyAlignment="1">
      <alignment horizontal="center" vertical="center"/>
    </xf>
    <xf numFmtId="0" fontId="22" fillId="0" borderId="3" xfId="0" applyFont="1" applyBorder="1" applyAlignment="1">
      <alignment horizontal="center" vertical="center"/>
    </xf>
    <xf numFmtId="0" fontId="22" fillId="0" borderId="1" xfId="0" applyFont="1" applyBorder="1" applyAlignment="1">
      <alignment horizontal="center" vertical="center"/>
    </xf>
    <xf numFmtId="0" fontId="22" fillId="0" borderId="5" xfId="0" applyFont="1" applyBorder="1" applyAlignment="1">
      <alignment horizontal="center" vertical="center"/>
    </xf>
    <xf numFmtId="0" fontId="0" fillId="0" borderId="33" xfId="0" applyBorder="1"/>
    <xf numFmtId="0" fontId="0" fillId="0" borderId="34" xfId="0" applyBorder="1"/>
    <xf numFmtId="0" fontId="0" fillId="0" borderId="34" xfId="0" applyBorder="1" applyAlignment="1">
      <alignment horizontal="justify"/>
    </xf>
    <xf numFmtId="0" fontId="0" fillId="0" borderId="30" xfId="0" applyBorder="1" applyAlignment="1">
      <alignment horizontal="justify"/>
    </xf>
    <xf numFmtId="0" fontId="0" fillId="0" borderId="31" xfId="0" applyBorder="1"/>
    <xf numFmtId="0" fontId="0" fillId="0" borderId="21" xfId="0" applyBorder="1"/>
    <xf numFmtId="0" fontId="0" fillId="0" borderId="23" xfId="0" applyBorder="1"/>
    <xf numFmtId="0" fontId="0" fillId="0" borderId="21" xfId="0" applyBorder="1" applyAlignment="1">
      <alignment horizontal="justify"/>
    </xf>
    <xf numFmtId="0" fontId="13" fillId="0" borderId="5" xfId="0" applyFont="1" applyBorder="1" applyAlignment="1">
      <alignment horizontal="left"/>
    </xf>
    <xf numFmtId="0" fontId="0" fillId="0" borderId="0" xfId="0" applyAlignment="1"/>
    <xf numFmtId="0" fontId="35" fillId="0" borderId="0" xfId="0" applyFont="1" applyAlignment="1"/>
    <xf numFmtId="0" fontId="36" fillId="0" borderId="0" xfId="0" applyFont="1" applyAlignment="1"/>
    <xf numFmtId="0" fontId="15" fillId="0" borderId="0" xfId="4" applyAlignment="1" applyProtection="1"/>
    <xf numFmtId="166" fontId="5" fillId="0" borderId="0" xfId="5" applyFont="1"/>
    <xf numFmtId="166" fontId="22" fillId="0" borderId="0" xfId="5" applyFont="1"/>
    <xf numFmtId="14" fontId="22" fillId="0" borderId="1" xfId="0" applyNumberFormat="1" applyFont="1" applyBorder="1" applyAlignment="1">
      <alignment horizontal="center"/>
    </xf>
    <xf numFmtId="166" fontId="0" fillId="0" borderId="1" xfId="5" applyFont="1" applyBorder="1"/>
    <xf numFmtId="0" fontId="0" fillId="0" borderId="35" xfId="0" applyBorder="1"/>
    <xf numFmtId="0" fontId="0" fillId="0" borderId="36" xfId="0" applyBorder="1"/>
    <xf numFmtId="0" fontId="0" fillId="0" borderId="37" xfId="0" applyBorder="1"/>
    <xf numFmtId="166" fontId="0" fillId="0" borderId="38" xfId="5" applyFont="1" applyBorder="1"/>
    <xf numFmtId="0" fontId="0" fillId="0" borderId="38" xfId="0" applyBorder="1"/>
    <xf numFmtId="0" fontId="0" fillId="0" borderId="18" xfId="0" applyBorder="1"/>
    <xf numFmtId="166" fontId="0" fillId="0" borderId="29" xfId="5" applyFont="1" applyBorder="1"/>
    <xf numFmtId="1" fontId="0" fillId="0" borderId="0" xfId="0" applyNumberFormat="1"/>
    <xf numFmtId="39" fontId="0" fillId="0" borderId="0" xfId="2" applyNumberFormat="1" applyFont="1"/>
    <xf numFmtId="14" fontId="0" fillId="0" borderId="1" xfId="0" applyNumberFormat="1" applyBorder="1" applyAlignment="1">
      <alignment horizontal="center"/>
    </xf>
    <xf numFmtId="39" fontId="7" fillId="0" borderId="1" xfId="2" applyNumberFormat="1" applyFont="1" applyBorder="1" applyAlignment="1">
      <alignment horizontal="center"/>
    </xf>
    <xf numFmtId="0" fontId="0" fillId="0" borderId="0" xfId="0" applyAlignment="1">
      <alignment horizontal="justify"/>
    </xf>
    <xf numFmtId="0" fontId="27" fillId="0" borderId="0" xfId="0" applyFont="1"/>
    <xf numFmtId="16" fontId="0" fillId="0" borderId="0" xfId="0" applyNumberFormat="1"/>
    <xf numFmtId="0" fontId="0" fillId="0" borderId="9" xfId="0" applyBorder="1" applyAlignment="1">
      <alignment horizontal="center"/>
    </xf>
    <xf numFmtId="37" fontId="0" fillId="0" borderId="1" xfId="2" applyNumberFormat="1" applyFont="1" applyBorder="1" applyAlignment="1">
      <alignment horizontal="center"/>
    </xf>
    <xf numFmtId="0" fontId="10" fillId="0" borderId="39" xfId="0" applyFont="1" applyBorder="1" applyAlignment="1">
      <alignment horizontal="center"/>
    </xf>
    <xf numFmtId="0" fontId="3" fillId="0" borderId="39" xfId="0" applyFont="1" applyBorder="1" applyAlignment="1">
      <alignment horizontal="center"/>
    </xf>
    <xf numFmtId="0" fontId="48" fillId="0" borderId="1" xfId="0" applyFont="1" applyBorder="1" applyAlignment="1">
      <alignment horizontal="center" vertical="center"/>
    </xf>
    <xf numFmtId="0" fontId="10" fillId="0" borderId="1" xfId="0" applyFont="1" applyBorder="1" applyAlignment="1">
      <alignment horizontal="center" vertical="center"/>
    </xf>
    <xf numFmtId="0" fontId="4" fillId="0" borderId="1" xfId="0" applyFont="1" applyBorder="1" applyAlignment="1">
      <alignment horizontal="center" vertical="center"/>
    </xf>
    <xf numFmtId="0" fontId="49" fillId="0" borderId="1" xfId="0" applyFont="1" applyBorder="1" applyAlignment="1">
      <alignment horizontal="center" vertical="center"/>
    </xf>
    <xf numFmtId="0" fontId="48" fillId="0" borderId="1" xfId="0" applyFont="1" applyFill="1" applyBorder="1" applyAlignment="1">
      <alignment horizontal="center" vertical="center"/>
    </xf>
    <xf numFmtId="0" fontId="4" fillId="0" borderId="1" xfId="0" applyFont="1" applyFill="1" applyBorder="1" applyAlignment="1">
      <alignment horizontal="center" vertical="center"/>
    </xf>
    <xf numFmtId="0" fontId="10" fillId="0" borderId="40" xfId="0" applyFont="1" applyBorder="1" applyAlignment="1">
      <alignment horizontal="center"/>
    </xf>
    <xf numFmtId="0" fontId="3" fillId="0" borderId="40" xfId="0" applyFont="1" applyBorder="1" applyAlignment="1">
      <alignment horizontal="center"/>
    </xf>
    <xf numFmtId="167" fontId="0" fillId="0" borderId="2" xfId="0" applyNumberFormat="1" applyBorder="1" applyAlignment="1">
      <alignment horizontal="center"/>
    </xf>
    <xf numFmtId="0" fontId="48" fillId="0" borderId="3" xfId="0" applyFont="1" applyBorder="1" applyAlignment="1">
      <alignment horizontal="center" vertical="center"/>
    </xf>
    <xf numFmtId="0" fontId="10" fillId="0" borderId="3" xfId="0" applyFont="1" applyBorder="1" applyAlignment="1">
      <alignment horizontal="center" vertical="center"/>
    </xf>
    <xf numFmtId="0" fontId="4" fillId="0" borderId="3" xfId="0" applyFont="1" applyBorder="1" applyAlignment="1">
      <alignment horizontal="center" vertical="center"/>
    </xf>
    <xf numFmtId="167" fontId="0" fillId="0" borderId="8" xfId="0" applyNumberFormat="1" applyBorder="1" applyAlignment="1">
      <alignment horizontal="center"/>
    </xf>
    <xf numFmtId="167" fontId="0" fillId="0" borderId="4" xfId="0" applyNumberFormat="1" applyBorder="1" applyAlignment="1">
      <alignment horizontal="center"/>
    </xf>
    <xf numFmtId="0" fontId="48" fillId="0" borderId="5" xfId="0" applyFont="1" applyBorder="1" applyAlignment="1">
      <alignment horizontal="center" vertical="center"/>
    </xf>
    <xf numFmtId="0" fontId="10" fillId="0" borderId="5" xfId="0" applyFont="1" applyBorder="1" applyAlignment="1">
      <alignment horizontal="center" vertical="center"/>
    </xf>
    <xf numFmtId="0" fontId="4" fillId="0" borderId="5" xfId="0" applyFont="1" applyBorder="1" applyAlignment="1">
      <alignment horizontal="center" vertical="center"/>
    </xf>
    <xf numFmtId="167" fontId="4" fillId="0" borderId="33" xfId="5" applyNumberFormat="1" applyFont="1" applyBorder="1" applyAlignment="1">
      <alignment horizontal="center" vertical="center"/>
    </xf>
    <xf numFmtId="167" fontId="4" fillId="0" borderId="30" xfId="5" applyNumberFormat="1" applyFont="1" applyBorder="1" applyAlignment="1">
      <alignment horizontal="center" vertical="center"/>
    </xf>
    <xf numFmtId="167" fontId="4" fillId="0" borderId="30" xfId="5" applyNumberFormat="1" applyFont="1" applyFill="1" applyBorder="1" applyAlignment="1">
      <alignment horizontal="center" vertical="center"/>
    </xf>
    <xf numFmtId="167" fontId="4" fillId="0" borderId="34" xfId="5" applyNumberFormat="1" applyFont="1" applyBorder="1" applyAlignment="1">
      <alignment horizontal="center" vertical="center"/>
    </xf>
    <xf numFmtId="167" fontId="28" fillId="0" borderId="8" xfId="0" applyNumberFormat="1" applyFont="1" applyBorder="1" applyAlignment="1">
      <alignment horizontal="center"/>
    </xf>
    <xf numFmtId="0" fontId="28" fillId="0" borderId="1" xfId="0" applyFont="1" applyBorder="1" applyAlignment="1">
      <alignment horizontal="center" vertical="center"/>
    </xf>
    <xf numFmtId="167" fontId="28" fillId="0" borderId="30" xfId="5" applyNumberFormat="1" applyFont="1" applyBorder="1" applyAlignment="1">
      <alignment horizontal="center" vertical="center"/>
    </xf>
    <xf numFmtId="14" fontId="48" fillId="0" borderId="0" xfId="0" applyNumberFormat="1" applyFont="1" applyAlignment="1">
      <alignment horizontal="left"/>
    </xf>
    <xf numFmtId="0" fontId="3" fillId="0" borderId="41" xfId="0" applyFont="1" applyBorder="1" applyAlignment="1">
      <alignment horizontal="center"/>
    </xf>
    <xf numFmtId="0" fontId="3" fillId="0" borderId="0" xfId="0" applyFont="1" applyBorder="1" applyAlignment="1">
      <alignment horizontal="center"/>
    </xf>
    <xf numFmtId="0" fontId="0" fillId="0" borderId="42" xfId="0" applyBorder="1" applyAlignment="1">
      <alignment horizontal="center"/>
    </xf>
    <xf numFmtId="14" fontId="0" fillId="0" borderId="9" xfId="0" applyNumberFormat="1" applyBorder="1" applyAlignment="1">
      <alignment horizontal="center"/>
    </xf>
    <xf numFmtId="0" fontId="28" fillId="0" borderId="42" xfId="0" applyFont="1" applyBorder="1" applyAlignment="1">
      <alignment horizontal="center"/>
    </xf>
    <xf numFmtId="14" fontId="0" fillId="0" borderId="6" xfId="0" applyNumberFormat="1" applyBorder="1" applyAlignment="1">
      <alignment horizontal="center"/>
    </xf>
    <xf numFmtId="0" fontId="0" fillId="0" borderId="43" xfId="0" applyBorder="1" applyAlignment="1">
      <alignment horizontal="center"/>
    </xf>
    <xf numFmtId="0" fontId="0" fillId="0" borderId="44" xfId="0" applyBorder="1" applyAlignment="1">
      <alignment horizontal="center"/>
    </xf>
    <xf numFmtId="14" fontId="0" fillId="0" borderId="20" xfId="0" applyNumberFormat="1" applyBorder="1" applyAlignment="1">
      <alignment horizontal="center"/>
    </xf>
    <xf numFmtId="3" fontId="17" fillId="0" borderId="19" xfId="0" applyNumberFormat="1" applyFont="1" applyBorder="1" applyAlignment="1">
      <alignment horizontal="center"/>
    </xf>
    <xf numFmtId="3" fontId="17" fillId="0" borderId="1" xfId="0" applyNumberFormat="1" applyFont="1" applyBorder="1" applyAlignment="1">
      <alignment horizontal="center"/>
    </xf>
    <xf numFmtId="3" fontId="17" fillId="0" borderId="5" xfId="0" applyNumberFormat="1" applyFont="1" applyBorder="1" applyAlignment="1">
      <alignment horizontal="center"/>
    </xf>
    <xf numFmtId="0" fontId="50" fillId="0" borderId="1" xfId="0" applyFont="1" applyBorder="1" applyAlignment="1">
      <alignment horizontal="center"/>
    </xf>
    <xf numFmtId="0" fontId="17" fillId="0" borderId="3" xfId="0" applyFont="1" applyBorder="1" applyAlignment="1">
      <alignment horizontal="center"/>
    </xf>
    <xf numFmtId="0" fontId="17" fillId="0" borderId="1" xfId="0" applyFont="1" applyBorder="1" applyAlignment="1">
      <alignment horizontal="center"/>
    </xf>
    <xf numFmtId="0" fontId="51" fillId="0" borderId="1" xfId="0" applyFont="1" applyBorder="1" applyAlignment="1">
      <alignment horizontal="center"/>
    </xf>
    <xf numFmtId="0" fontId="0" fillId="0" borderId="0" xfId="0" applyAlignment="1">
      <alignment horizontal="justify" vertical="top"/>
    </xf>
    <xf numFmtId="0" fontId="22" fillId="0" borderId="0" xfId="0" applyFont="1" applyAlignment="1">
      <alignment horizontal="center"/>
    </xf>
    <xf numFmtId="170" fontId="0" fillId="0" borderId="1" xfId="0" applyNumberFormat="1" applyBorder="1" applyAlignment="1">
      <alignment horizontal="center"/>
    </xf>
    <xf numFmtId="0" fontId="13" fillId="0" borderId="1" xfId="0" applyFont="1" applyFill="1" applyBorder="1" applyAlignment="1">
      <alignment horizontal="justify"/>
    </xf>
    <xf numFmtId="170" fontId="0" fillId="0" borderId="0" xfId="0" applyNumberFormat="1" applyBorder="1" applyAlignment="1">
      <alignment horizontal="center"/>
    </xf>
    <xf numFmtId="170" fontId="0" fillId="0" borderId="0" xfId="0" applyNumberFormat="1" applyAlignment="1">
      <alignment horizontal="center"/>
    </xf>
    <xf numFmtId="0" fontId="0" fillId="0" borderId="29" xfId="0" applyBorder="1" applyAlignment="1">
      <alignment horizontal="center"/>
    </xf>
    <xf numFmtId="167" fontId="0" fillId="0" borderId="29" xfId="0" applyNumberFormat="1" applyBorder="1" applyAlignment="1">
      <alignment horizontal="center"/>
    </xf>
    <xf numFmtId="170" fontId="0" fillId="0" borderId="29" xfId="0" applyNumberFormat="1" applyBorder="1" applyAlignment="1">
      <alignment horizontal="center"/>
    </xf>
    <xf numFmtId="0" fontId="22" fillId="0" borderId="29" xfId="0" applyFont="1" applyBorder="1"/>
    <xf numFmtId="0" fontId="22" fillId="0" borderId="29" xfId="0" applyFont="1" applyBorder="1" applyAlignment="1">
      <alignment horizontal="center"/>
    </xf>
    <xf numFmtId="4" fontId="8" fillId="0" borderId="45" xfId="0" applyNumberFormat="1" applyFont="1" applyBorder="1" applyAlignment="1">
      <alignment horizontal="center"/>
    </xf>
    <xf numFmtId="0" fontId="7" fillId="0" borderId="46" xfId="0" applyFont="1" applyBorder="1" applyAlignment="1">
      <alignment horizontal="center"/>
    </xf>
    <xf numFmtId="0" fontId="0" fillId="0" borderId="45" xfId="0" applyBorder="1"/>
    <xf numFmtId="0" fontId="0" fillId="0" borderId="47" xfId="0" applyBorder="1" applyAlignment="1">
      <alignment horizontal="center"/>
    </xf>
    <xf numFmtId="0" fontId="0" fillId="0" borderId="26" xfId="0" applyBorder="1"/>
    <xf numFmtId="167" fontId="0" fillId="0" borderId="26" xfId="0" applyNumberFormat="1" applyBorder="1" applyAlignment="1">
      <alignment horizontal="center"/>
    </xf>
    <xf numFmtId="170" fontId="0" fillId="0" borderId="26" xfId="0" applyNumberFormat="1" applyBorder="1" applyAlignment="1">
      <alignment horizontal="center"/>
    </xf>
    <xf numFmtId="2" fontId="22" fillId="0" borderId="26" xfId="0" applyNumberFormat="1" applyFont="1" applyBorder="1"/>
    <xf numFmtId="0" fontId="22" fillId="0" borderId="26" xfId="0" applyFont="1" applyBorder="1"/>
    <xf numFmtId="0" fontId="0" fillId="0" borderId="32" xfId="0" applyBorder="1"/>
    <xf numFmtId="2" fontId="22" fillId="0" borderId="0" xfId="0" applyNumberFormat="1" applyFont="1"/>
    <xf numFmtId="0" fontId="53" fillId="0" borderId="19" xfId="0" applyFont="1" applyBorder="1" applyAlignment="1">
      <alignment horizontal="left"/>
    </xf>
    <xf numFmtId="0" fontId="22" fillId="0" borderId="30" xfId="0" applyFont="1" applyBorder="1"/>
    <xf numFmtId="0" fontId="22" fillId="0" borderId="22" xfId="0" applyFont="1" applyBorder="1" applyAlignment="1">
      <alignment horizontal="center"/>
    </xf>
    <xf numFmtId="167" fontId="22" fillId="0" borderId="0" xfId="0" applyNumberFormat="1" applyFont="1" applyAlignment="1">
      <alignment horizontal="center"/>
    </xf>
    <xf numFmtId="170" fontId="55" fillId="0" borderId="0" xfId="0" applyNumberFormat="1" applyFont="1" applyAlignment="1">
      <alignment horizontal="center"/>
    </xf>
    <xf numFmtId="167" fontId="56" fillId="0" borderId="0" xfId="0" applyNumberFormat="1" applyFont="1" applyAlignment="1">
      <alignment horizontal="left"/>
    </xf>
    <xf numFmtId="0" fontId="4" fillId="0" borderId="0" xfId="0" applyFont="1" applyBorder="1" applyAlignment="1">
      <alignment horizontal="justify"/>
    </xf>
    <xf numFmtId="4" fontId="8" fillId="0" borderId="0" xfId="0" applyNumberFormat="1" applyFont="1" applyBorder="1" applyAlignment="1">
      <alignment horizontal="center" vertical="center"/>
    </xf>
    <xf numFmtId="167" fontId="8" fillId="0" borderId="1" xfId="0" applyNumberFormat="1" applyFont="1" applyBorder="1" applyAlignment="1">
      <alignment horizontal="center"/>
    </xf>
    <xf numFmtId="0" fontId="0" fillId="0" borderId="48" xfId="0" applyBorder="1"/>
    <xf numFmtId="0" fontId="0" fillId="0" borderId="41" xfId="0" applyBorder="1"/>
    <xf numFmtId="0" fontId="0" fillId="0" borderId="41" xfId="0" applyBorder="1" applyAlignment="1">
      <alignment horizontal="center"/>
    </xf>
    <xf numFmtId="0" fontId="0" fillId="0" borderId="3" xfId="0" applyBorder="1"/>
    <xf numFmtId="0" fontId="0" fillId="0" borderId="49" xfId="0" applyBorder="1"/>
    <xf numFmtId="14" fontId="0" fillId="0" borderId="32" xfId="0" applyNumberFormat="1" applyBorder="1"/>
    <xf numFmtId="0" fontId="0" fillId="0" borderId="50" xfId="0" applyBorder="1"/>
    <xf numFmtId="0" fontId="0" fillId="0" borderId="51" xfId="0" applyBorder="1"/>
    <xf numFmtId="14" fontId="0" fillId="0" borderId="51" xfId="0" applyNumberFormat="1" applyBorder="1"/>
    <xf numFmtId="0" fontId="0" fillId="0" borderId="51" xfId="0" applyBorder="1" applyAlignment="1">
      <alignment horizontal="center"/>
    </xf>
    <xf numFmtId="0" fontId="0" fillId="0" borderId="8" xfId="0" applyBorder="1"/>
    <xf numFmtId="14" fontId="0" fillId="0" borderId="1" xfId="0" applyNumberFormat="1" applyBorder="1"/>
    <xf numFmtId="0" fontId="6" fillId="0" borderId="32" xfId="0" applyFont="1" applyBorder="1" applyAlignment="1">
      <alignment horizontal="center"/>
    </xf>
    <xf numFmtId="0" fontId="0" fillId="0" borderId="4" xfId="0" applyBorder="1"/>
    <xf numFmtId="14" fontId="0" fillId="0" borderId="5" xfId="0" applyNumberFormat="1" applyBorder="1"/>
    <xf numFmtId="0" fontId="6" fillId="0" borderId="5" xfId="0" applyFont="1" applyBorder="1" applyAlignment="1">
      <alignment horizontal="center"/>
    </xf>
    <xf numFmtId="166" fontId="8" fillId="0" borderId="1" xfId="5" applyFont="1" applyBorder="1"/>
    <xf numFmtId="0" fontId="59" fillId="0" borderId="0" xfId="0" applyFont="1" applyAlignment="1">
      <alignment horizontal="center"/>
    </xf>
    <xf numFmtId="0" fontId="60" fillId="0" borderId="0" xfId="0" applyFont="1" applyAlignment="1">
      <alignment horizontal="center"/>
    </xf>
    <xf numFmtId="0" fontId="60" fillId="0" borderId="0" xfId="0" applyFont="1"/>
    <xf numFmtId="170" fontId="60" fillId="0" borderId="0" xfId="0" applyNumberFormat="1" applyFont="1" applyAlignment="1">
      <alignment horizontal="center"/>
    </xf>
    <xf numFmtId="0" fontId="51" fillId="0" borderId="0" xfId="0" applyFont="1"/>
    <xf numFmtId="0" fontId="51" fillId="0" borderId="0" xfId="0" applyFont="1" applyAlignment="1">
      <alignment horizontal="center"/>
    </xf>
    <xf numFmtId="0" fontId="60" fillId="0" borderId="1" xfId="0" applyFont="1" applyBorder="1" applyAlignment="1">
      <alignment horizontal="center"/>
    </xf>
    <xf numFmtId="170" fontId="60" fillId="0" borderId="1" xfId="0" applyNumberFormat="1" applyFont="1" applyBorder="1" applyAlignment="1">
      <alignment horizontal="center"/>
    </xf>
    <xf numFmtId="0" fontId="27" fillId="0" borderId="1" xfId="0" applyFont="1" applyFill="1" applyBorder="1" applyAlignment="1">
      <alignment horizontal="justify"/>
    </xf>
    <xf numFmtId="167" fontId="60" fillId="0" borderId="0" xfId="0" applyNumberFormat="1" applyFont="1" applyAlignment="1">
      <alignment horizontal="center"/>
    </xf>
    <xf numFmtId="170" fontId="60" fillId="0" borderId="0" xfId="0" applyNumberFormat="1" applyFont="1" applyBorder="1" applyAlignment="1">
      <alignment horizontal="center"/>
    </xf>
    <xf numFmtId="0" fontId="51" fillId="0" borderId="0" xfId="0" applyFont="1" applyBorder="1" applyAlignment="1">
      <alignment horizontal="center"/>
    </xf>
    <xf numFmtId="0" fontId="60" fillId="0" borderId="0" xfId="0" applyFont="1" applyBorder="1" applyAlignment="1">
      <alignment horizontal="center"/>
    </xf>
    <xf numFmtId="0" fontId="60" fillId="0" borderId="29" xfId="0" applyFont="1" applyBorder="1" applyAlignment="1">
      <alignment horizontal="center"/>
    </xf>
    <xf numFmtId="0" fontId="60" fillId="0" borderId="29" xfId="0" applyFont="1" applyBorder="1"/>
    <xf numFmtId="167" fontId="60" fillId="0" borderId="29" xfId="0" applyNumberFormat="1" applyFont="1" applyBorder="1" applyAlignment="1">
      <alignment horizontal="center"/>
    </xf>
    <xf numFmtId="170" fontId="60" fillId="0" borderId="29" xfId="0" applyNumberFormat="1" applyFont="1" applyBorder="1" applyAlignment="1">
      <alignment horizontal="center"/>
    </xf>
    <xf numFmtId="0" fontId="51" fillId="0" borderId="29" xfId="0" applyFont="1" applyBorder="1"/>
    <xf numFmtId="0" fontId="51" fillId="0" borderId="29" xfId="0" applyFont="1" applyBorder="1" applyAlignment="1">
      <alignment horizontal="center"/>
    </xf>
    <xf numFmtId="4" fontId="45" fillId="0" borderId="45" xfId="0" applyNumberFormat="1" applyFont="1" applyBorder="1" applyAlignment="1">
      <alignment horizontal="center"/>
    </xf>
    <xf numFmtId="0" fontId="12" fillId="0" borderId="46" xfId="0" applyFont="1" applyBorder="1" applyAlignment="1">
      <alignment horizontal="center"/>
    </xf>
    <xf numFmtId="0" fontId="60" fillId="0" borderId="45" xfId="0" applyFont="1" applyBorder="1"/>
    <xf numFmtId="0" fontId="60" fillId="0" borderId="47" xfId="0" applyFont="1" applyBorder="1" applyAlignment="1">
      <alignment horizontal="center"/>
    </xf>
    <xf numFmtId="0" fontId="60" fillId="0" borderId="26" xfId="0" applyFont="1" applyBorder="1" applyAlignment="1">
      <alignment horizontal="center"/>
    </xf>
    <xf numFmtId="0" fontId="60" fillId="0" borderId="26" xfId="0" applyFont="1" applyBorder="1"/>
    <xf numFmtId="167" fontId="60" fillId="0" borderId="26" xfId="0" applyNumberFormat="1" applyFont="1" applyBorder="1" applyAlignment="1">
      <alignment horizontal="center"/>
    </xf>
    <xf numFmtId="170" fontId="60" fillId="0" borderId="26" xfId="0" applyNumberFormat="1" applyFont="1" applyBorder="1" applyAlignment="1">
      <alignment horizontal="center"/>
    </xf>
    <xf numFmtId="2" fontId="51" fillId="0" borderId="26" xfId="0" applyNumberFormat="1" applyFont="1" applyBorder="1"/>
    <xf numFmtId="0" fontId="51" fillId="0" borderId="26" xfId="0" applyFont="1" applyBorder="1"/>
    <xf numFmtId="0" fontId="51" fillId="0" borderId="32" xfId="0" applyFont="1" applyBorder="1" applyAlignment="1">
      <alignment horizontal="center"/>
    </xf>
    <xf numFmtId="0" fontId="60" fillId="0" borderId="32" xfId="0" applyFont="1" applyBorder="1" applyAlignment="1">
      <alignment horizontal="center"/>
    </xf>
    <xf numFmtId="0" fontId="60" fillId="0" borderId="32" xfId="0" applyFont="1" applyBorder="1"/>
    <xf numFmtId="0" fontId="51" fillId="0" borderId="32" xfId="0" applyFont="1" applyBorder="1" applyAlignment="1">
      <alignment horizontal="justify"/>
    </xf>
    <xf numFmtId="2" fontId="51" fillId="0" borderId="0" xfId="0" applyNumberFormat="1" applyFont="1"/>
    <xf numFmtId="0" fontId="51" fillId="0" borderId="19" xfId="0" applyFont="1" applyBorder="1" applyAlignment="1">
      <alignment horizontal="center"/>
    </xf>
    <xf numFmtId="0" fontId="60" fillId="0" borderId="19" xfId="0" applyFont="1" applyBorder="1" applyAlignment="1">
      <alignment horizontal="center"/>
    </xf>
    <xf numFmtId="0" fontId="60" fillId="0" borderId="19" xfId="0" applyFont="1" applyBorder="1"/>
    <xf numFmtId="0" fontId="62" fillId="0" borderId="19" xfId="0" applyFont="1" applyBorder="1" applyAlignment="1">
      <alignment horizontal="left"/>
    </xf>
    <xf numFmtId="0" fontId="51" fillId="0" borderId="30" xfId="0" applyFont="1" applyBorder="1"/>
    <xf numFmtId="0" fontId="51" fillId="0" borderId="22" xfId="0" applyFont="1" applyBorder="1" applyAlignment="1">
      <alignment horizontal="center"/>
    </xf>
    <xf numFmtId="0" fontId="60" fillId="0" borderId="0" xfId="0" applyFont="1" applyAlignment="1">
      <alignment horizontal="justify" vertical="top"/>
    </xf>
    <xf numFmtId="167" fontId="51" fillId="0" borderId="0" xfId="0" applyNumberFormat="1" applyFont="1" applyAlignment="1">
      <alignment horizontal="center"/>
    </xf>
    <xf numFmtId="170" fontId="64" fillId="0" borderId="0" xfId="0" applyNumberFormat="1" applyFont="1" applyAlignment="1">
      <alignment horizontal="center"/>
    </xf>
    <xf numFmtId="167" fontId="65" fillId="0" borderId="0" xfId="0" applyNumberFormat="1" applyFont="1" applyAlignment="1">
      <alignment horizontal="left"/>
    </xf>
    <xf numFmtId="0" fontId="47" fillId="0" borderId="0" xfId="0" applyFont="1" applyBorder="1" applyAlignment="1">
      <alignment horizontal="justify"/>
    </xf>
    <xf numFmtId="4" fontId="45" fillId="0" borderId="0" xfId="0" applyNumberFormat="1" applyFont="1" applyBorder="1" applyAlignment="1">
      <alignment horizontal="center" vertical="center"/>
    </xf>
    <xf numFmtId="167" fontId="67" fillId="0" borderId="0" xfId="0" applyNumberFormat="1" applyFont="1" applyAlignment="1">
      <alignment horizontal="left"/>
    </xf>
    <xf numFmtId="167" fontId="45" fillId="0" borderId="1" xfId="0" applyNumberFormat="1" applyFont="1" applyBorder="1" applyAlignment="1">
      <alignment horizontal="center"/>
    </xf>
    <xf numFmtId="2" fontId="22" fillId="0" borderId="19" xfId="0" applyNumberFormat="1" applyFont="1" applyBorder="1" applyAlignment="1">
      <alignment horizontal="center"/>
    </xf>
    <xf numFmtId="0" fontId="69" fillId="0" borderId="0" xfId="0" applyFont="1" applyAlignment="1">
      <alignment horizontal="center"/>
    </xf>
    <xf numFmtId="0" fontId="0" fillId="0" borderId="38" xfId="0" applyBorder="1" applyAlignment="1">
      <alignment horizontal="center"/>
    </xf>
    <xf numFmtId="14" fontId="10" fillId="0" borderId="0" xfId="0" applyNumberFormat="1" applyFont="1"/>
    <xf numFmtId="0" fontId="8" fillId="0" borderId="1" xfId="0" applyFont="1" applyBorder="1" applyAlignment="1">
      <alignment horizontal="center"/>
    </xf>
    <xf numFmtId="0" fontId="8" fillId="0" borderId="3" xfId="0" applyFont="1" applyBorder="1" applyAlignment="1">
      <alignment horizontal="center"/>
    </xf>
    <xf numFmtId="14" fontId="72" fillId="0" borderId="0" xfId="0" applyNumberFormat="1" applyFont="1" applyBorder="1" applyAlignment="1">
      <alignment horizontal="center"/>
    </xf>
    <xf numFmtId="0" fontId="27" fillId="0" borderId="48" xfId="0" applyFont="1" applyBorder="1" applyAlignment="1">
      <alignment horizontal="center"/>
    </xf>
    <xf numFmtId="0" fontId="27" fillId="0" borderId="52" xfId="0" applyFont="1" applyBorder="1" applyAlignment="1">
      <alignment horizontal="center"/>
    </xf>
    <xf numFmtId="0" fontId="27" fillId="0" borderId="53" xfId="0" applyFont="1" applyBorder="1" applyAlignment="1">
      <alignment horizontal="center"/>
    </xf>
    <xf numFmtId="0" fontId="27" fillId="0" borderId="42" xfId="0" applyFont="1" applyBorder="1" applyAlignment="1">
      <alignment horizontal="center"/>
    </xf>
    <xf numFmtId="0" fontId="0" fillId="0" borderId="54" xfId="0" applyBorder="1"/>
    <xf numFmtId="14" fontId="14" fillId="0" borderId="0" xfId="0" applyNumberFormat="1" applyFont="1"/>
    <xf numFmtId="166" fontId="14" fillId="0" borderId="0" xfId="5" applyFont="1"/>
    <xf numFmtId="14" fontId="18" fillId="0" borderId="0" xfId="0" applyNumberFormat="1" applyFont="1" applyBorder="1" applyAlignment="1">
      <alignment horizontal="left"/>
    </xf>
    <xf numFmtId="0" fontId="53" fillId="0" borderId="1" xfId="0" applyFont="1" applyBorder="1" applyAlignment="1">
      <alignment horizontal="center"/>
    </xf>
    <xf numFmtId="0" fontId="53" fillId="0" borderId="5" xfId="0" applyFont="1" applyBorder="1" applyAlignment="1">
      <alignment horizontal="center"/>
    </xf>
    <xf numFmtId="0" fontId="27" fillId="0" borderId="55" xfId="0" applyFont="1" applyBorder="1" applyAlignment="1">
      <alignment horizontal="center"/>
    </xf>
    <xf numFmtId="0" fontId="8" fillId="0" borderId="5" xfId="0" applyFont="1" applyBorder="1" applyAlignment="1">
      <alignment horizontal="center"/>
    </xf>
    <xf numFmtId="0" fontId="77" fillId="0" borderId="0" xfId="0" applyFont="1"/>
    <xf numFmtId="0" fontId="77" fillId="0" borderId="0" xfId="0" applyFont="1" applyAlignment="1">
      <alignment horizontal="center"/>
    </xf>
    <xf numFmtId="170" fontId="77" fillId="0" borderId="0" xfId="0" applyNumberFormat="1" applyFont="1" applyAlignment="1">
      <alignment horizontal="center"/>
    </xf>
    <xf numFmtId="0" fontId="78" fillId="0" borderId="0" xfId="0" applyFont="1"/>
    <xf numFmtId="0" fontId="78" fillId="0" borderId="0" xfId="0" applyFont="1" applyAlignment="1">
      <alignment horizontal="center"/>
    </xf>
    <xf numFmtId="0" fontId="77" fillId="0" borderId="1" xfId="0" applyFont="1" applyBorder="1" applyAlignment="1">
      <alignment horizontal="center"/>
    </xf>
    <xf numFmtId="170" fontId="77" fillId="0" borderId="1" xfId="0" applyNumberFormat="1" applyFont="1" applyBorder="1" applyAlignment="1">
      <alignment horizontal="center"/>
    </xf>
    <xf numFmtId="0" fontId="78" fillId="0" borderId="1" xfId="0" applyFont="1" applyBorder="1" applyAlignment="1">
      <alignment horizontal="center"/>
    </xf>
    <xf numFmtId="0" fontId="79" fillId="0" borderId="1" xfId="0" applyFont="1" applyFill="1" applyBorder="1" applyAlignment="1">
      <alignment horizontal="justify"/>
    </xf>
    <xf numFmtId="167" fontId="77" fillId="0" borderId="0" xfId="0" applyNumberFormat="1" applyFont="1" applyAlignment="1">
      <alignment horizontal="center"/>
    </xf>
    <xf numFmtId="170" fontId="77" fillId="0" borderId="0" xfId="0" applyNumberFormat="1" applyFont="1" applyBorder="1" applyAlignment="1">
      <alignment horizontal="center"/>
    </xf>
    <xf numFmtId="0" fontId="78" fillId="0" borderId="0" xfId="0" applyFont="1" applyBorder="1" applyAlignment="1">
      <alignment horizontal="center"/>
    </xf>
    <xf numFmtId="0" fontId="77" fillId="0" borderId="0" xfId="0" applyFont="1" applyBorder="1" applyAlignment="1">
      <alignment horizontal="center"/>
    </xf>
    <xf numFmtId="0" fontId="77" fillId="0" borderId="29" xfId="0" applyFont="1" applyBorder="1" applyAlignment="1">
      <alignment horizontal="center"/>
    </xf>
    <xf numFmtId="0" fontId="77" fillId="0" borderId="29" xfId="0" applyFont="1" applyBorder="1"/>
    <xf numFmtId="167" fontId="77" fillId="0" borderId="29" xfId="0" applyNumberFormat="1" applyFont="1" applyBorder="1" applyAlignment="1">
      <alignment horizontal="center"/>
    </xf>
    <xf numFmtId="170" fontId="77" fillId="0" borderId="29" xfId="0" applyNumberFormat="1" applyFont="1" applyBorder="1" applyAlignment="1">
      <alignment horizontal="center"/>
    </xf>
    <xf numFmtId="0" fontId="78" fillId="0" borderId="29" xfId="0" applyFont="1" applyBorder="1"/>
    <xf numFmtId="0" fontId="78" fillId="0" borderId="29" xfId="0" applyFont="1" applyBorder="1" applyAlignment="1">
      <alignment horizontal="center"/>
    </xf>
    <xf numFmtId="4" fontId="81" fillId="0" borderId="45" xfId="0" applyNumberFormat="1" applyFont="1" applyBorder="1" applyAlignment="1">
      <alignment horizontal="center"/>
    </xf>
    <xf numFmtId="0" fontId="82" fillId="0" borderId="46" xfId="0" applyFont="1" applyBorder="1" applyAlignment="1">
      <alignment horizontal="center"/>
    </xf>
    <xf numFmtId="0" fontId="77" fillId="0" borderId="45" xfId="0" applyFont="1" applyBorder="1"/>
    <xf numFmtId="0" fontId="77" fillId="0" borderId="47" xfId="0" applyFont="1" applyBorder="1" applyAlignment="1">
      <alignment horizontal="center"/>
    </xf>
    <xf numFmtId="0" fontId="77" fillId="0" borderId="26" xfId="0" applyFont="1" applyBorder="1" applyAlignment="1">
      <alignment horizontal="center"/>
    </xf>
    <xf numFmtId="0" fontId="77" fillId="0" borderId="26" xfId="0" applyFont="1" applyBorder="1"/>
    <xf numFmtId="167" fontId="77" fillId="0" borderId="26" xfId="0" applyNumberFormat="1" applyFont="1" applyBorder="1" applyAlignment="1">
      <alignment horizontal="center"/>
    </xf>
    <xf numFmtId="170" fontId="77" fillId="0" borderId="26" xfId="0" applyNumberFormat="1" applyFont="1" applyBorder="1" applyAlignment="1">
      <alignment horizontal="center"/>
    </xf>
    <xf numFmtId="2" fontId="78" fillId="0" borderId="26" xfId="0" applyNumberFormat="1" applyFont="1" applyBorder="1"/>
    <xf numFmtId="0" fontId="78" fillId="0" borderId="26" xfId="0" applyFont="1" applyBorder="1"/>
    <xf numFmtId="2" fontId="78" fillId="0" borderId="32" xfId="0" applyNumberFormat="1" applyFont="1" applyBorder="1" applyAlignment="1">
      <alignment horizontal="center"/>
    </xf>
    <xf numFmtId="0" fontId="77" fillId="0" borderId="32" xfId="0" applyFont="1" applyBorder="1" applyAlignment="1">
      <alignment horizontal="center"/>
    </xf>
    <xf numFmtId="0" fontId="77" fillId="0" borderId="32" xfId="0" applyFont="1" applyBorder="1"/>
    <xf numFmtId="0" fontId="78" fillId="0" borderId="32" xfId="0" applyFont="1" applyBorder="1" applyAlignment="1">
      <alignment horizontal="justify"/>
    </xf>
    <xf numFmtId="2" fontId="78" fillId="0" borderId="0" xfId="0" applyNumberFormat="1" applyFont="1"/>
    <xf numFmtId="2" fontId="78" fillId="0" borderId="19" xfId="0" applyNumberFormat="1" applyFont="1" applyBorder="1" applyAlignment="1">
      <alignment horizontal="center"/>
    </xf>
    <xf numFmtId="0" fontId="77" fillId="0" borderId="19" xfId="0" applyFont="1" applyBorder="1" applyAlignment="1">
      <alignment horizontal="center"/>
    </xf>
    <xf numFmtId="0" fontId="77" fillId="0" borderId="19" xfId="0" applyFont="1" applyBorder="1"/>
    <xf numFmtId="0" fontId="83" fillId="0" borderId="19" xfId="0" applyFont="1" applyBorder="1" applyAlignment="1">
      <alignment horizontal="left"/>
    </xf>
    <xf numFmtId="0" fontId="78" fillId="0" borderId="30" xfId="0" applyFont="1" applyBorder="1"/>
    <xf numFmtId="0" fontId="78" fillId="0" borderId="22" xfId="0" applyFont="1" applyBorder="1" applyAlignment="1">
      <alignment horizontal="center"/>
    </xf>
    <xf numFmtId="0" fontId="77" fillId="0" borderId="0" xfId="0" applyFont="1" applyAlignment="1">
      <alignment horizontal="justify" vertical="top"/>
    </xf>
    <xf numFmtId="167" fontId="78" fillId="0" borderId="0" xfId="0" applyNumberFormat="1" applyFont="1" applyAlignment="1">
      <alignment horizontal="center"/>
    </xf>
    <xf numFmtId="170" fontId="85" fillId="0" borderId="0" xfId="0" applyNumberFormat="1" applyFont="1" applyAlignment="1">
      <alignment horizontal="center"/>
    </xf>
    <xf numFmtId="167" fontId="86" fillId="0" borderId="0" xfId="0" applyNumberFormat="1" applyFont="1" applyAlignment="1">
      <alignment horizontal="left"/>
    </xf>
    <xf numFmtId="0" fontId="87" fillId="0" borderId="0" xfId="0" applyFont="1" applyBorder="1" applyAlignment="1">
      <alignment horizontal="justify"/>
    </xf>
    <xf numFmtId="4" fontId="81" fillId="0" borderId="0" xfId="0" applyNumberFormat="1" applyFont="1" applyBorder="1" applyAlignment="1">
      <alignment horizontal="center" vertical="center"/>
    </xf>
    <xf numFmtId="167" fontId="81" fillId="0" borderId="1" xfId="0" applyNumberFormat="1" applyFont="1" applyBorder="1" applyAlignment="1">
      <alignment horizontal="center"/>
    </xf>
    <xf numFmtId="0" fontId="32" fillId="0" borderId="0" xfId="0" applyFont="1"/>
    <xf numFmtId="166" fontId="90" fillId="0" borderId="0" xfId="5" applyNumberFormat="1" applyFont="1"/>
    <xf numFmtId="14" fontId="0" fillId="0" borderId="0" xfId="0" applyNumberFormat="1" applyBorder="1"/>
    <xf numFmtId="166" fontId="96" fillId="0" borderId="0" xfId="5" applyFont="1"/>
    <xf numFmtId="0" fontId="22" fillId="0" borderId="47" xfId="0" applyFont="1" applyBorder="1" applyAlignment="1">
      <alignment horizontal="center"/>
    </xf>
    <xf numFmtId="170" fontId="0" fillId="0" borderId="47" xfId="0" applyNumberFormat="1" applyBorder="1" applyAlignment="1">
      <alignment horizontal="center"/>
    </xf>
    <xf numFmtId="2" fontId="22" fillId="0" borderId="56" xfId="0" applyNumberFormat="1" applyFont="1" applyBorder="1" applyAlignment="1">
      <alignment horizontal="center"/>
    </xf>
    <xf numFmtId="0" fontId="0" fillId="0" borderId="56" xfId="0" applyBorder="1" applyAlignment="1">
      <alignment horizontal="center"/>
    </xf>
    <xf numFmtId="0" fontId="0" fillId="0" borderId="56" xfId="0" applyBorder="1"/>
    <xf numFmtId="0" fontId="22" fillId="0" borderId="56" xfId="0" applyFont="1" applyBorder="1" applyAlignment="1">
      <alignment horizontal="justify"/>
    </xf>
    <xf numFmtId="0" fontId="97" fillId="0" borderId="2" xfId="0" applyFont="1" applyBorder="1" applyAlignment="1">
      <alignment horizontal="center"/>
    </xf>
    <xf numFmtId="0" fontId="97" fillId="0" borderId="3" xfId="0" applyFont="1" applyBorder="1"/>
    <xf numFmtId="0" fontId="97" fillId="0" borderId="8" xfId="0" applyFont="1" applyBorder="1" applyAlignment="1">
      <alignment horizontal="center"/>
    </xf>
    <xf numFmtId="0" fontId="97" fillId="0" borderId="1" xfId="0" applyFont="1" applyBorder="1"/>
    <xf numFmtId="0" fontId="97" fillId="0" borderId="19" xfId="0" applyFont="1" applyBorder="1" applyAlignment="1">
      <alignment horizontal="center"/>
    </xf>
    <xf numFmtId="0" fontId="97" fillId="0" borderId="1" xfId="0" applyFont="1" applyBorder="1" applyAlignment="1">
      <alignment horizontal="center"/>
    </xf>
    <xf numFmtId="0" fontId="97" fillId="0" borderId="4" xfId="0" applyFont="1" applyBorder="1" applyAlignment="1">
      <alignment horizontal="center"/>
    </xf>
    <xf numFmtId="0" fontId="97" fillId="0" borderId="5" xfId="0" applyFont="1" applyBorder="1"/>
    <xf numFmtId="0" fontId="97" fillId="0" borderId="5" xfId="0" applyFont="1" applyBorder="1" applyAlignment="1">
      <alignment horizontal="center"/>
    </xf>
    <xf numFmtId="0" fontId="13" fillId="0" borderId="5" xfId="0" applyFont="1" applyFill="1" applyBorder="1" applyAlignment="1">
      <alignment horizontal="justify"/>
    </xf>
    <xf numFmtId="166" fontId="98" fillId="0" borderId="3" xfId="5" applyFont="1" applyBorder="1" applyAlignment="1">
      <alignment horizontal="center"/>
    </xf>
    <xf numFmtId="166" fontId="98" fillId="0" borderId="19" xfId="5" applyFont="1" applyBorder="1" applyAlignment="1">
      <alignment horizontal="center"/>
    </xf>
    <xf numFmtId="166" fontId="98" fillId="0" borderId="1" xfId="5" applyFont="1" applyBorder="1" applyAlignment="1">
      <alignment horizontal="center"/>
    </xf>
    <xf numFmtId="166" fontId="98" fillId="0" borderId="57" xfId="5" applyFont="1" applyBorder="1" applyAlignment="1">
      <alignment horizontal="center"/>
    </xf>
    <xf numFmtId="0" fontId="97" fillId="0" borderId="58" xfId="0" applyFont="1" applyBorder="1" applyAlignment="1">
      <alignment horizontal="center"/>
    </xf>
    <xf numFmtId="0" fontId="97" fillId="0" borderId="19" xfId="0" applyFont="1" applyBorder="1"/>
    <xf numFmtId="0" fontId="97" fillId="0" borderId="49" xfId="0" applyFont="1" applyBorder="1" applyAlignment="1">
      <alignment horizontal="center"/>
    </xf>
    <xf numFmtId="0" fontId="97" fillId="0" borderId="32" xfId="0" applyFont="1" applyBorder="1"/>
    <xf numFmtId="166" fontId="98" fillId="0" borderId="32" xfId="5" applyFont="1" applyBorder="1" applyAlignment="1">
      <alignment horizontal="center"/>
    </xf>
    <xf numFmtId="0" fontId="97" fillId="0" borderId="32" xfId="0" applyFont="1" applyBorder="1" applyAlignment="1">
      <alignment horizontal="center"/>
    </xf>
    <xf numFmtId="0" fontId="99" fillId="0" borderId="3" xfId="0" applyFont="1" applyBorder="1" applyAlignment="1">
      <alignment horizontal="center"/>
    </xf>
    <xf numFmtId="0" fontId="99" fillId="0" borderId="32" xfId="0" applyFont="1" applyBorder="1" applyAlignment="1">
      <alignment horizontal="center"/>
    </xf>
    <xf numFmtId="0" fontId="99" fillId="0" borderId="19" xfId="0" applyFont="1" applyBorder="1" applyAlignment="1">
      <alignment horizontal="center"/>
    </xf>
    <xf numFmtId="0" fontId="99" fillId="0" borderId="1" xfId="0" applyFont="1" applyBorder="1" applyAlignment="1">
      <alignment horizontal="center"/>
    </xf>
    <xf numFmtId="0" fontId="99" fillId="0" borderId="57" xfId="0" applyFont="1" applyBorder="1" applyAlignment="1">
      <alignment horizontal="center"/>
    </xf>
    <xf numFmtId="170" fontId="13" fillId="0" borderId="3" xfId="0" applyNumberFormat="1" applyFont="1" applyBorder="1" applyAlignment="1">
      <alignment horizontal="center"/>
    </xf>
    <xf numFmtId="170" fontId="13" fillId="0" borderId="32" xfId="0" applyNumberFormat="1" applyFont="1" applyBorder="1" applyAlignment="1">
      <alignment horizontal="center"/>
    </xf>
    <xf numFmtId="170" fontId="13" fillId="0" borderId="19" xfId="0" applyNumberFormat="1" applyFont="1" applyBorder="1" applyAlignment="1">
      <alignment horizontal="center"/>
    </xf>
    <xf numFmtId="170" fontId="13" fillId="0" borderId="1" xfId="0" applyNumberFormat="1" applyFont="1" applyBorder="1" applyAlignment="1">
      <alignment horizontal="center"/>
    </xf>
    <xf numFmtId="170" fontId="13" fillId="0" borderId="5" xfId="0" applyNumberFormat="1" applyFont="1" applyBorder="1" applyAlignment="1">
      <alignment horizontal="center"/>
    </xf>
    <xf numFmtId="0" fontId="100" fillId="0" borderId="20" xfId="0" applyFont="1" applyFill="1" applyBorder="1" applyAlignment="1">
      <alignment horizontal="justify"/>
    </xf>
    <xf numFmtId="0" fontId="100" fillId="0" borderId="59" xfId="0" applyFont="1" applyFill="1" applyBorder="1" applyAlignment="1">
      <alignment horizontal="justify"/>
    </xf>
    <xf numFmtId="0" fontId="100" fillId="0" borderId="6" xfId="0" applyFont="1" applyFill="1" applyBorder="1" applyAlignment="1">
      <alignment horizontal="justify"/>
    </xf>
    <xf numFmtId="167" fontId="13" fillId="0" borderId="3" xfId="0" applyNumberFormat="1" applyFont="1" applyBorder="1" applyAlignment="1">
      <alignment horizontal="center"/>
    </xf>
    <xf numFmtId="167" fontId="13" fillId="0" borderId="32" xfId="0" applyNumberFormat="1" applyFont="1" applyBorder="1" applyAlignment="1">
      <alignment horizontal="center"/>
    </xf>
    <xf numFmtId="167" fontId="13" fillId="0" borderId="19" xfId="0" applyNumberFormat="1" applyFont="1" applyBorder="1" applyAlignment="1">
      <alignment horizontal="center"/>
    </xf>
    <xf numFmtId="167" fontId="13" fillId="0" borderId="1" xfId="0" applyNumberFormat="1" applyFont="1" applyBorder="1" applyAlignment="1">
      <alignment horizontal="center"/>
    </xf>
    <xf numFmtId="167" fontId="13" fillId="0" borderId="5" xfId="0" applyNumberFormat="1" applyFont="1" applyBorder="1" applyAlignment="1">
      <alignment horizontal="center"/>
    </xf>
    <xf numFmtId="14" fontId="101" fillId="0" borderId="0" xfId="0" applyNumberFormat="1" applyFont="1"/>
    <xf numFmtId="0" fontId="102" fillId="0" borderId="2" xfId="0" applyFont="1" applyBorder="1" applyAlignment="1">
      <alignment horizontal="center" vertical="center"/>
    </xf>
    <xf numFmtId="0" fontId="102" fillId="0" borderId="8" xfId="0" applyFont="1" applyBorder="1" applyAlignment="1">
      <alignment horizontal="center" vertical="center"/>
    </xf>
    <xf numFmtId="0" fontId="102" fillId="0" borderId="42" xfId="0" applyFont="1" applyBorder="1" applyAlignment="1">
      <alignment horizontal="center" vertical="center"/>
    </xf>
    <xf numFmtId="0" fontId="102" fillId="0" borderId="4" xfId="0" applyFont="1" applyBorder="1" applyAlignment="1">
      <alignment horizontal="center" vertical="center"/>
    </xf>
    <xf numFmtId="0" fontId="0" fillId="0" borderId="7" xfId="0" applyBorder="1" applyAlignment="1">
      <alignment horizontal="center" vertical="center"/>
    </xf>
    <xf numFmtId="0" fontId="0" fillId="0" borderId="9" xfId="0" applyBorder="1" applyAlignment="1">
      <alignment horizontal="center" vertical="center"/>
    </xf>
    <xf numFmtId="0" fontId="0" fillId="0" borderId="6" xfId="0" applyBorder="1" applyAlignment="1">
      <alignment horizontal="center" vertical="center"/>
    </xf>
    <xf numFmtId="0" fontId="0" fillId="0" borderId="60" xfId="0" applyBorder="1" applyAlignment="1">
      <alignment horizontal="center" vertical="center"/>
    </xf>
    <xf numFmtId="0" fontId="0" fillId="0" borderId="31" xfId="0" applyBorder="1" applyAlignment="1">
      <alignment horizontal="justify" vertical="center" wrapText="1"/>
    </xf>
    <xf numFmtId="0" fontId="8" fillId="0" borderId="21" xfId="0" applyFont="1" applyBorder="1" applyAlignment="1">
      <alignment horizontal="justify" vertical="center"/>
    </xf>
    <xf numFmtId="0" fontId="0" fillId="0" borderId="21" xfId="0" applyBorder="1" applyAlignment="1">
      <alignment horizontal="justify" vertical="center"/>
    </xf>
    <xf numFmtId="0" fontId="105" fillId="0" borderId="39" xfId="0" applyFont="1" applyBorder="1" applyAlignment="1">
      <alignment horizontal="left" vertical="center" indent="3"/>
    </xf>
    <xf numFmtId="0" fontId="13" fillId="0" borderId="21" xfId="0" applyFont="1" applyBorder="1" applyAlignment="1">
      <alignment horizontal="justify" vertical="center"/>
    </xf>
    <xf numFmtId="0" fontId="13" fillId="0" borderId="23" xfId="0" applyFont="1" applyBorder="1" applyAlignment="1">
      <alignment horizontal="justify" vertical="center"/>
    </xf>
    <xf numFmtId="1" fontId="5" fillId="0" borderId="52" xfId="0" applyNumberFormat="1" applyFont="1" applyBorder="1" applyAlignment="1">
      <alignment horizontal="center" vertical="center"/>
    </xf>
    <xf numFmtId="1" fontId="17" fillId="0" borderId="2" xfId="5" applyNumberFormat="1" applyFont="1" applyBorder="1" applyAlignment="1">
      <alignment horizontal="center" vertical="center"/>
    </xf>
    <xf numFmtId="1" fontId="17" fillId="0" borderId="8" xfId="5" applyNumberFormat="1" applyFont="1" applyBorder="1" applyAlignment="1">
      <alignment horizontal="center" vertical="center"/>
    </xf>
    <xf numFmtId="1" fontId="17" fillId="0" borderId="4" xfId="5" applyNumberFormat="1" applyFont="1" applyBorder="1" applyAlignment="1">
      <alignment horizontal="center" vertical="center"/>
    </xf>
    <xf numFmtId="0" fontId="26" fillId="0" borderId="0" xfId="0" applyFont="1"/>
    <xf numFmtId="0" fontId="0" fillId="0" borderId="0" xfId="0" applyAlignment="1">
      <alignment horizontal="left" indent="1"/>
    </xf>
    <xf numFmtId="0" fontId="106" fillId="0" borderId="0" xfId="0" applyFont="1"/>
    <xf numFmtId="167" fontId="0" fillId="0" borderId="1" xfId="0" applyNumberFormat="1" applyBorder="1" applyAlignment="1">
      <alignment horizontal="center" vertical="center"/>
    </xf>
    <xf numFmtId="0" fontId="0" fillId="0" borderId="1" xfId="0" applyBorder="1" applyAlignment="1">
      <alignment horizontal="left" vertical="center" indent="1"/>
    </xf>
    <xf numFmtId="0" fontId="0" fillId="0" borderId="1" xfId="0" applyBorder="1" applyAlignment="1">
      <alignment vertical="center"/>
    </xf>
    <xf numFmtId="0" fontId="106" fillId="0" borderId="1" xfId="0" applyFont="1" applyBorder="1" applyAlignment="1">
      <alignment vertical="center"/>
    </xf>
    <xf numFmtId="0" fontId="0" fillId="0" borderId="1" xfId="0" applyBorder="1" applyAlignment="1">
      <alignment horizontal="center" vertical="center"/>
    </xf>
    <xf numFmtId="167" fontId="107" fillId="0" borderId="1" xfId="0" applyNumberFormat="1" applyFont="1" applyBorder="1" applyAlignment="1">
      <alignment horizontal="center" vertical="center"/>
    </xf>
    <xf numFmtId="0" fontId="107" fillId="0" borderId="1" xfId="0" applyFont="1" applyBorder="1" applyAlignment="1">
      <alignment horizontal="left" vertical="center" indent="1"/>
    </xf>
    <xf numFmtId="0" fontId="107" fillId="0" borderId="1" xfId="0" applyFont="1" applyBorder="1" applyAlignment="1">
      <alignment vertical="center"/>
    </xf>
    <xf numFmtId="0" fontId="108" fillId="0" borderId="1" xfId="0" applyFont="1" applyBorder="1" applyAlignment="1">
      <alignment vertical="center"/>
    </xf>
    <xf numFmtId="0" fontId="107" fillId="0" borderId="1" xfId="0" applyFont="1" applyBorder="1" applyAlignment="1">
      <alignment horizontal="center" vertical="center"/>
    </xf>
    <xf numFmtId="0" fontId="13" fillId="0" borderId="1" xfId="0" applyFont="1" applyBorder="1" applyAlignment="1">
      <alignment horizontal="justify" vertical="center"/>
    </xf>
    <xf numFmtId="0" fontId="8" fillId="0" borderId="0" xfId="0" applyFont="1"/>
    <xf numFmtId="0" fontId="5" fillId="0" borderId="0" xfId="0" applyFont="1" applyBorder="1" applyAlignment="1">
      <alignment horizontal="center" vertical="center" textRotation="90"/>
    </xf>
    <xf numFmtId="167" fontId="0" fillId="0" borderId="0" xfId="0" applyNumberFormat="1" applyBorder="1" applyAlignment="1">
      <alignment horizontal="center" vertical="center"/>
    </xf>
    <xf numFmtId="0" fontId="0" fillId="0" borderId="0" xfId="0" applyBorder="1" applyAlignment="1">
      <alignment horizontal="left" vertical="center" indent="1"/>
    </xf>
    <xf numFmtId="0" fontId="0" fillId="0" borderId="0" xfId="0" applyBorder="1" applyAlignment="1">
      <alignment vertical="center"/>
    </xf>
    <xf numFmtId="0" fontId="106" fillId="0" borderId="0" xfId="0" applyFont="1" applyBorder="1" applyAlignment="1">
      <alignment vertical="center"/>
    </xf>
    <xf numFmtId="0" fontId="0" fillId="0" borderId="0" xfId="0" applyBorder="1" applyAlignment="1">
      <alignment horizontal="center" vertical="center"/>
    </xf>
    <xf numFmtId="167" fontId="0" fillId="0" borderId="0" xfId="0" applyNumberFormat="1" applyBorder="1" applyAlignment="1">
      <alignment horizontal="center"/>
    </xf>
    <xf numFmtId="0" fontId="43" fillId="0" borderId="0" xfId="0" applyFont="1" applyBorder="1" applyAlignment="1">
      <alignment horizontal="left"/>
    </xf>
    <xf numFmtId="167" fontId="17" fillId="0" borderId="1" xfId="0" applyNumberFormat="1" applyFont="1" applyBorder="1" applyAlignment="1">
      <alignment horizontal="center" vertical="center"/>
    </xf>
    <xf numFmtId="0" fontId="0" fillId="0" borderId="0" xfId="0" applyAlignment="1">
      <alignment wrapText="1"/>
    </xf>
    <xf numFmtId="0" fontId="109" fillId="0" borderId="0" xfId="0" applyFont="1" applyAlignment="1">
      <alignment wrapText="1"/>
    </xf>
    <xf numFmtId="0" fontId="112" fillId="0" borderId="0" xfId="0" applyFont="1" applyAlignment="1">
      <alignment wrapText="1"/>
    </xf>
    <xf numFmtId="0" fontId="110" fillId="0" borderId="0" xfId="0" applyFont="1" applyAlignment="1">
      <alignment horizontal="center" wrapText="1"/>
    </xf>
    <xf numFmtId="0" fontId="112" fillId="0" borderId="0" xfId="0" applyFont="1" applyAlignment="1">
      <alignment horizontal="center" wrapText="1"/>
    </xf>
    <xf numFmtId="0" fontId="112" fillId="0" borderId="0" xfId="0" applyFont="1" applyAlignment="1">
      <alignment horizontal="right" wrapText="1"/>
    </xf>
    <xf numFmtId="0" fontId="109" fillId="0" borderId="0" xfId="0" applyFont="1" applyAlignment="1">
      <alignment horizontal="center" wrapText="1"/>
    </xf>
    <xf numFmtId="167" fontId="112" fillId="0" borderId="0" xfId="0" applyNumberFormat="1" applyFont="1" applyAlignment="1">
      <alignment horizontal="center" wrapText="1"/>
    </xf>
    <xf numFmtId="14" fontId="12" fillId="0" borderId="0" xfId="0" applyNumberFormat="1" applyFont="1" applyAlignment="1">
      <alignment horizontal="center"/>
    </xf>
    <xf numFmtId="0" fontId="114" fillId="0" borderId="0" xfId="0" applyFont="1" applyAlignment="1">
      <alignment horizontal="center" vertical="center" wrapText="1"/>
    </xf>
    <xf numFmtId="166" fontId="13" fillId="0" borderId="0" xfId="5" applyFont="1"/>
    <xf numFmtId="4" fontId="13" fillId="0" borderId="0" xfId="0" applyNumberFormat="1" applyFont="1"/>
    <xf numFmtId="166" fontId="0" fillId="0" borderId="30" xfId="5" applyFont="1" applyBorder="1"/>
    <xf numFmtId="0" fontId="0" fillId="0" borderId="0" xfId="0" applyAlignment="1">
      <alignment horizontal="left" vertical="top" wrapText="1"/>
    </xf>
    <xf numFmtId="0" fontId="17" fillId="0" borderId="0" xfId="0" applyFont="1" applyAlignment="1">
      <alignment horizontal="center" wrapText="1"/>
    </xf>
    <xf numFmtId="166" fontId="17" fillId="0" borderId="0" xfId="5" applyFont="1" applyBorder="1"/>
    <xf numFmtId="49" fontId="0" fillId="0" borderId="1" xfId="0" applyNumberFormat="1" applyBorder="1" applyAlignment="1">
      <alignment horizontal="center"/>
    </xf>
    <xf numFmtId="0" fontId="0" fillId="0" borderId="1" xfId="0" applyBorder="1" applyAlignment="1">
      <alignment horizontal="left" indent="1"/>
    </xf>
    <xf numFmtId="166" fontId="6" fillId="0" borderId="0" xfId="5" applyFont="1"/>
    <xf numFmtId="166" fontId="115" fillId="0" borderId="0" xfId="5" applyFont="1"/>
    <xf numFmtId="166" fontId="7" fillId="0" borderId="0" xfId="5" applyFont="1"/>
    <xf numFmtId="0" fontId="7" fillId="0" borderId="0" xfId="0" applyFont="1" applyAlignment="1">
      <alignment horizontal="center"/>
    </xf>
    <xf numFmtId="0" fontId="13" fillId="0" borderId="0" xfId="0" applyFont="1" applyAlignment="1">
      <alignment horizontal="left"/>
    </xf>
    <xf numFmtId="0" fontId="5" fillId="0" borderId="0" xfId="0" applyFont="1" applyAlignment="1">
      <alignment horizontal="left"/>
    </xf>
    <xf numFmtId="0" fontId="8" fillId="0" borderId="0" xfId="0" applyFont="1" applyAlignment="1">
      <alignment horizontal="left"/>
    </xf>
    <xf numFmtId="173" fontId="0" fillId="0" borderId="0" xfId="0" applyNumberFormat="1"/>
    <xf numFmtId="173" fontId="7" fillId="0" borderId="0" xfId="0" applyNumberFormat="1" applyFont="1"/>
    <xf numFmtId="0" fontId="122" fillId="0" borderId="0" xfId="0" applyFont="1" applyAlignment="1">
      <alignment horizontal="left"/>
    </xf>
    <xf numFmtId="0" fontId="17" fillId="0" borderId="5" xfId="0" applyFont="1" applyBorder="1" applyAlignment="1">
      <alignment horizontal="center"/>
    </xf>
    <xf numFmtId="0" fontId="123" fillId="0" borderId="0" xfId="0" applyFont="1" applyAlignment="1">
      <alignment horizontal="center"/>
    </xf>
    <xf numFmtId="0" fontId="124" fillId="0" borderId="0" xfId="0" applyFont="1" applyAlignment="1">
      <alignment horizontal="center"/>
    </xf>
    <xf numFmtId="0" fontId="125" fillId="0" borderId="0" xfId="0" applyFont="1"/>
    <xf numFmtId="173" fontId="125" fillId="0" borderId="0" xfId="0" applyNumberFormat="1" applyFont="1"/>
    <xf numFmtId="0" fontId="13" fillId="0" borderId="0" xfId="0" applyFont="1" applyAlignment="1">
      <alignment horizontal="center"/>
    </xf>
    <xf numFmtId="166" fontId="0" fillId="0" borderId="0" xfId="5" applyFont="1" applyBorder="1"/>
    <xf numFmtId="166" fontId="0" fillId="0" borderId="18" xfId="5" applyFont="1" applyBorder="1"/>
    <xf numFmtId="166" fontId="7" fillId="0" borderId="38" xfId="5" applyFont="1" applyBorder="1"/>
    <xf numFmtId="166" fontId="7" fillId="0" borderId="38" xfId="5" applyFont="1" applyBorder="1" applyAlignment="1"/>
    <xf numFmtId="166" fontId="0" fillId="0" borderId="27" xfId="5" applyFont="1" applyBorder="1"/>
    <xf numFmtId="166" fontId="0" fillId="0" borderId="28" xfId="5" applyFont="1" applyBorder="1"/>
    <xf numFmtId="49" fontId="13" fillId="0" borderId="0" xfId="0" applyNumberFormat="1" applyFont="1" applyAlignment="1">
      <alignment horizontal="center"/>
    </xf>
    <xf numFmtId="43" fontId="0" fillId="0" borderId="0" xfId="0" applyNumberFormat="1"/>
    <xf numFmtId="173" fontId="7" fillId="0" borderId="0" xfId="0" applyNumberFormat="1" applyFont="1" applyAlignment="1">
      <alignment horizontal="center"/>
    </xf>
    <xf numFmtId="14" fontId="10" fillId="0" borderId="0" xfId="0" applyNumberFormat="1" applyFont="1" applyAlignment="1">
      <alignment horizontal="center"/>
    </xf>
    <xf numFmtId="0" fontId="4" fillId="0" borderId="0" xfId="0" applyFont="1" applyAlignment="1">
      <alignment horizontal="left"/>
    </xf>
    <xf numFmtId="0" fontId="126" fillId="0" borderId="0" xfId="0" applyFont="1"/>
    <xf numFmtId="166" fontId="126" fillId="0" borderId="0" xfId="5" applyFont="1"/>
    <xf numFmtId="166" fontId="123" fillId="0" borderId="0" xfId="5" applyFont="1"/>
    <xf numFmtId="4" fontId="0" fillId="0" borderId="0" xfId="5" applyNumberFormat="1" applyFont="1" applyBorder="1" applyAlignment="1">
      <alignment horizontal="center" vertical="center"/>
    </xf>
    <xf numFmtId="166" fontId="126" fillId="0" borderId="11" xfId="5" applyFont="1" applyBorder="1" applyAlignment="1">
      <alignment horizontal="center"/>
    </xf>
    <xf numFmtId="166" fontId="126" fillId="0" borderId="19" xfId="5" applyFont="1" applyBorder="1" applyAlignment="1">
      <alignment horizontal="center"/>
    </xf>
    <xf numFmtId="0" fontId="4" fillId="0" borderId="0" xfId="0" applyFont="1"/>
    <xf numFmtId="4" fontId="7" fillId="0" borderId="0" xfId="5" applyNumberFormat="1" applyFont="1" applyBorder="1" applyAlignment="1">
      <alignment horizontal="center" vertical="center"/>
    </xf>
    <xf numFmtId="0" fontId="10" fillId="0" borderId="0" xfId="0" applyFont="1" applyAlignment="1">
      <alignment horizontal="center"/>
    </xf>
    <xf numFmtId="0" fontId="127" fillId="0" borderId="0" xfId="0" applyFont="1"/>
    <xf numFmtId="167" fontId="0" fillId="0" borderId="58" xfId="0" applyNumberFormat="1" applyBorder="1" applyAlignment="1">
      <alignment horizontal="center"/>
    </xf>
    <xf numFmtId="0" fontId="17" fillId="0" borderId="19" xfId="0" applyFont="1" applyBorder="1" applyAlignment="1">
      <alignment horizontal="center"/>
    </xf>
    <xf numFmtId="0" fontId="8" fillId="0" borderId="19" xfId="0" applyFont="1" applyBorder="1" applyAlignment="1">
      <alignment horizontal="center"/>
    </xf>
    <xf numFmtId="0" fontId="48" fillId="0" borderId="19" xfId="0" applyFont="1" applyBorder="1" applyAlignment="1">
      <alignment horizontal="center" vertical="center"/>
    </xf>
    <xf numFmtId="0" fontId="4" fillId="0" borderId="19" xfId="0" applyFont="1" applyBorder="1" applyAlignment="1">
      <alignment horizontal="center" vertical="center"/>
    </xf>
    <xf numFmtId="167" fontId="4" fillId="0" borderId="28" xfId="5" applyNumberFormat="1" applyFont="1" applyBorder="1" applyAlignment="1">
      <alignment horizontal="center" vertical="center"/>
    </xf>
    <xf numFmtId="0" fontId="10" fillId="0" borderId="61" xfId="0" applyFont="1" applyBorder="1" applyAlignment="1">
      <alignment horizontal="center"/>
    </xf>
    <xf numFmtId="0" fontId="3" fillId="0" borderId="61" xfId="0" applyFont="1" applyBorder="1" applyAlignment="1">
      <alignment horizontal="center"/>
    </xf>
    <xf numFmtId="0" fontId="3" fillId="0" borderId="62" xfId="0" applyFont="1" applyBorder="1" applyAlignment="1">
      <alignment horizontal="center"/>
    </xf>
    <xf numFmtId="166" fontId="128" fillId="0" borderId="11" xfId="5" applyFont="1" applyBorder="1" applyAlignment="1">
      <alignment horizontal="center"/>
    </xf>
    <xf numFmtId="166" fontId="121" fillId="0" borderId="11" xfId="5" applyFont="1" applyBorder="1" applyAlignment="1">
      <alignment horizontal="center"/>
    </xf>
    <xf numFmtId="166" fontId="121" fillId="0" borderId="19" xfId="5" applyFont="1" applyBorder="1" applyAlignment="1">
      <alignment horizontal="center"/>
    </xf>
    <xf numFmtId="0" fontId="0" fillId="0" borderId="36" xfId="0" applyBorder="1" applyAlignment="1">
      <alignment horizontal="center"/>
    </xf>
    <xf numFmtId="0" fontId="7" fillId="2" borderId="0" xfId="0" applyFont="1" applyFill="1" applyAlignment="1">
      <alignment horizontal="center"/>
    </xf>
    <xf numFmtId="166" fontId="0" fillId="0" borderId="22" xfId="5" applyFont="1" applyBorder="1"/>
    <xf numFmtId="166" fontId="129" fillId="0" borderId="1" xfId="5" applyFont="1" applyBorder="1" applyAlignment="1">
      <alignment horizontal="center" wrapText="1"/>
    </xf>
    <xf numFmtId="166" fontId="126" fillId="0" borderId="1" xfId="5" applyFont="1" applyBorder="1" applyAlignment="1">
      <alignment horizontal="justify"/>
    </xf>
    <xf numFmtId="167" fontId="126" fillId="0" borderId="11" xfId="5" applyNumberFormat="1" applyFont="1" applyBorder="1" applyAlignment="1">
      <alignment horizontal="center"/>
    </xf>
    <xf numFmtId="167" fontId="126" fillId="0" borderId="19" xfId="5" applyNumberFormat="1" applyFont="1" applyBorder="1" applyAlignment="1">
      <alignment horizontal="center"/>
    </xf>
    <xf numFmtId="0" fontId="10" fillId="2" borderId="0" xfId="0" applyFont="1" applyFill="1" applyAlignment="1">
      <alignment horizontal="left"/>
    </xf>
    <xf numFmtId="0" fontId="10" fillId="2" borderId="0" xfId="0" applyFont="1" applyFill="1" applyAlignment="1">
      <alignment horizontal="right"/>
    </xf>
    <xf numFmtId="0" fontId="10" fillId="2" borderId="0" xfId="0" applyFont="1" applyFill="1"/>
    <xf numFmtId="0" fontId="0" fillId="2" borderId="0" xfId="0" applyFill="1"/>
    <xf numFmtId="0" fontId="130" fillId="2" borderId="0" xfId="0" applyFont="1" applyFill="1"/>
    <xf numFmtId="0" fontId="4" fillId="2" borderId="0" xfId="0" applyFont="1" applyFill="1"/>
    <xf numFmtId="43" fontId="123" fillId="0" borderId="0" xfId="0" applyNumberFormat="1" applyFont="1"/>
    <xf numFmtId="0" fontId="13" fillId="0" borderId="35" xfId="0" applyFont="1" applyBorder="1"/>
    <xf numFmtId="0" fontId="13" fillId="0" borderId="36" xfId="0" applyFont="1" applyBorder="1"/>
    <xf numFmtId="43" fontId="123" fillId="0" borderId="37" xfId="0" applyNumberFormat="1" applyFont="1" applyBorder="1"/>
    <xf numFmtId="0" fontId="13" fillId="0" borderId="29" xfId="0" applyFont="1" applyBorder="1" applyAlignment="1">
      <alignment horizontal="center"/>
    </xf>
    <xf numFmtId="43" fontId="123" fillId="0" borderId="29" xfId="0" applyNumberFormat="1" applyFont="1" applyBorder="1"/>
    <xf numFmtId="0" fontId="0" fillId="0" borderId="30" xfId="0" applyBorder="1" applyAlignment="1">
      <alignment horizontal="center"/>
    </xf>
    <xf numFmtId="166" fontId="2" fillId="0" borderId="0" xfId="5" applyFont="1"/>
    <xf numFmtId="0" fontId="32" fillId="0" borderId="0" xfId="0" applyFont="1" applyAlignment="1">
      <alignment horizontal="center"/>
    </xf>
    <xf numFmtId="43" fontId="32" fillId="0" borderId="29" xfId="0" applyNumberFormat="1" applyFont="1" applyBorder="1"/>
    <xf numFmtId="0" fontId="107" fillId="0" borderId="0" xfId="0" applyFont="1" applyAlignment="1">
      <alignment horizontal="left"/>
    </xf>
    <xf numFmtId="0" fontId="0" fillId="2" borderId="1" xfId="0" applyFill="1" applyBorder="1"/>
    <xf numFmtId="0" fontId="0" fillId="2" borderId="1" xfId="0" applyFill="1" applyBorder="1" applyAlignment="1">
      <alignment horizontal="center"/>
    </xf>
    <xf numFmtId="0" fontId="131" fillId="0" borderId="1" xfId="0" applyFont="1" applyBorder="1" applyAlignment="1">
      <alignment horizontal="center"/>
    </xf>
    <xf numFmtId="0" fontId="13" fillId="0" borderId="1" xfId="0" applyFont="1" applyBorder="1"/>
    <xf numFmtId="0" fontId="13" fillId="0" borderId="1" xfId="0" applyFont="1" applyBorder="1" applyAlignment="1">
      <alignment horizontal="center"/>
    </xf>
    <xf numFmtId="0" fontId="40" fillId="0" borderId="1" xfId="0" applyFont="1" applyBorder="1" applyAlignment="1">
      <alignment horizontal="center"/>
    </xf>
    <xf numFmtId="0" fontId="7" fillId="2" borderId="1" xfId="0" applyFont="1" applyFill="1" applyBorder="1" applyAlignment="1">
      <alignment horizontal="center"/>
    </xf>
    <xf numFmtId="0" fontId="32" fillId="2" borderId="1" xfId="0" applyFont="1" applyFill="1" applyBorder="1" applyAlignment="1">
      <alignment horizontal="center"/>
    </xf>
    <xf numFmtId="0" fontId="10" fillId="2" borderId="1" xfId="0" applyFont="1" applyFill="1" applyBorder="1" applyAlignment="1">
      <alignment horizontal="left"/>
    </xf>
    <xf numFmtId="0" fontId="10" fillId="2" borderId="1" xfId="0" applyFont="1" applyFill="1" applyBorder="1"/>
    <xf numFmtId="0" fontId="130" fillId="2" borderId="1" xfId="0" applyFont="1" applyFill="1" applyBorder="1"/>
    <xf numFmtId="0" fontId="116" fillId="0" borderId="1" xfId="0" applyFont="1" applyBorder="1"/>
    <xf numFmtId="0" fontId="116" fillId="0" borderId="1" xfId="0" applyFont="1" applyBorder="1" applyAlignment="1">
      <alignment horizontal="center"/>
    </xf>
    <xf numFmtId="0" fontId="4" fillId="2" borderId="1" xfId="0" applyFont="1" applyFill="1" applyBorder="1"/>
    <xf numFmtId="0" fontId="0" fillId="2" borderId="47" xfId="0" applyFill="1" applyBorder="1" applyAlignment="1">
      <alignment horizontal="center"/>
    </xf>
    <xf numFmtId="0" fontId="0" fillId="0" borderId="47" xfId="0" applyBorder="1"/>
    <xf numFmtId="0" fontId="7" fillId="0" borderId="47" xfId="0" applyFont="1" applyBorder="1" applyAlignment="1">
      <alignment horizontal="center"/>
    </xf>
    <xf numFmtId="0" fontId="0" fillId="2" borderId="47" xfId="0" applyFill="1" applyBorder="1"/>
    <xf numFmtId="0" fontId="7" fillId="0" borderId="19" xfId="0" applyFont="1" applyBorder="1" applyAlignment="1">
      <alignment horizontal="center"/>
    </xf>
    <xf numFmtId="0" fontId="131" fillId="0" borderId="19" xfId="0" applyFont="1" applyBorder="1" applyAlignment="1">
      <alignment horizontal="center"/>
    </xf>
    <xf numFmtId="0" fontId="131" fillId="0" borderId="30" xfId="0" applyFont="1" applyBorder="1" applyAlignment="1">
      <alignment horizontal="left" vertical="center"/>
    </xf>
    <xf numFmtId="0" fontId="132" fillId="0" borderId="54" xfId="0" applyFont="1" applyBorder="1" applyAlignment="1">
      <alignment horizontal="center" vertical="center"/>
    </xf>
    <xf numFmtId="0" fontId="132" fillId="0" borderId="54" xfId="0" applyFont="1" applyBorder="1" applyAlignment="1">
      <alignment vertical="center"/>
    </xf>
    <xf numFmtId="0" fontId="131" fillId="0" borderId="54" xfId="0" applyFont="1" applyBorder="1" applyAlignment="1">
      <alignment horizontal="center" vertical="center"/>
    </xf>
    <xf numFmtId="0" fontId="0" fillId="0" borderId="54" xfId="0" applyBorder="1" applyAlignment="1">
      <alignment vertical="center"/>
    </xf>
    <xf numFmtId="0" fontId="0" fillId="0" borderId="22" xfId="0" applyBorder="1" applyAlignment="1">
      <alignment vertical="center"/>
    </xf>
    <xf numFmtId="0" fontId="10" fillId="0" borderId="1" xfId="0" applyFont="1" applyBorder="1" applyAlignment="1">
      <alignment horizontal="left"/>
    </xf>
    <xf numFmtId="49" fontId="0" fillId="0" borderId="47" xfId="0" applyNumberFormat="1" applyBorder="1" applyAlignment="1">
      <alignment horizontal="center"/>
    </xf>
    <xf numFmtId="49" fontId="0" fillId="0" borderId="54" xfId="0" applyNumberFormat="1" applyBorder="1" applyAlignment="1">
      <alignment horizontal="center" vertical="center"/>
    </xf>
    <xf numFmtId="49" fontId="0" fillId="0" borderId="19" xfId="0" applyNumberFormat="1" applyBorder="1" applyAlignment="1">
      <alignment horizontal="center"/>
    </xf>
    <xf numFmtId="0" fontId="0" fillId="0" borderId="35" xfId="0" applyBorder="1" applyAlignment="1">
      <alignment horizontal="center"/>
    </xf>
    <xf numFmtId="0" fontId="0" fillId="0" borderId="28" xfId="0" applyBorder="1" applyAlignment="1">
      <alignment horizontal="center"/>
    </xf>
    <xf numFmtId="0" fontId="13" fillId="0" borderId="47" xfId="0" applyFont="1" applyBorder="1" applyAlignment="1">
      <alignment horizontal="center"/>
    </xf>
    <xf numFmtId="49" fontId="13" fillId="0" borderId="47" xfId="0" applyNumberFormat="1" applyFont="1" applyBorder="1" applyAlignment="1">
      <alignment horizontal="center"/>
    </xf>
    <xf numFmtId="0" fontId="13" fillId="0" borderId="19" xfId="0" applyFont="1" applyBorder="1" applyAlignment="1">
      <alignment horizontal="center"/>
    </xf>
    <xf numFmtId="49" fontId="13" fillId="0" borderId="19" xfId="0" applyNumberFormat="1" applyFont="1" applyBorder="1" applyAlignment="1">
      <alignment horizontal="center"/>
    </xf>
    <xf numFmtId="0" fontId="0" fillId="0" borderId="54" xfId="0" applyBorder="1" applyAlignment="1">
      <alignment horizontal="center" vertical="center"/>
    </xf>
    <xf numFmtId="16" fontId="0" fillId="0" borderId="1" xfId="0" applyNumberFormat="1" applyBorder="1" applyAlignment="1">
      <alignment horizontal="center"/>
    </xf>
    <xf numFmtId="49" fontId="0" fillId="2" borderId="1" xfId="0" applyNumberFormat="1" applyFill="1" applyBorder="1" applyAlignment="1">
      <alignment horizontal="center"/>
    </xf>
    <xf numFmtId="0" fontId="133" fillId="0" borderId="0" xfId="0" applyFont="1"/>
    <xf numFmtId="0" fontId="24" fillId="0" borderId="0" xfId="0" applyFont="1"/>
    <xf numFmtId="0" fontId="13" fillId="0" borderId="0" xfId="0" applyFont="1" applyAlignment="1">
      <alignment horizontal="justify" vertical="top"/>
    </xf>
    <xf numFmtId="0" fontId="10" fillId="0" borderId="0" xfId="0" applyFont="1" applyFill="1"/>
    <xf numFmtId="0" fontId="0" fillId="0" borderId="0" xfId="0" applyFill="1"/>
    <xf numFmtId="0" fontId="0" fillId="0" borderId="0" xfId="0" applyFill="1" applyAlignment="1">
      <alignment horizontal="center"/>
    </xf>
    <xf numFmtId="0" fontId="7" fillId="0" borderId="0" xfId="0" applyFont="1" applyFill="1" applyAlignment="1">
      <alignment horizontal="center"/>
    </xf>
    <xf numFmtId="0" fontId="32" fillId="2" borderId="0" xfId="0" applyFont="1" applyFill="1" applyAlignment="1">
      <alignment horizontal="center"/>
    </xf>
    <xf numFmtId="166" fontId="0" fillId="0" borderId="0" xfId="5" applyFont="1" applyAlignment="1">
      <alignment wrapText="1"/>
    </xf>
    <xf numFmtId="0" fontId="123" fillId="2" borderId="0" xfId="0" applyFont="1" applyFill="1" applyAlignment="1">
      <alignment horizontal="center"/>
    </xf>
    <xf numFmtId="173" fontId="0" fillId="2" borderId="0" xfId="0" applyNumberFormat="1" applyFill="1"/>
    <xf numFmtId="166" fontId="0" fillId="2" borderId="27" xfId="5" applyFont="1" applyFill="1" applyBorder="1"/>
    <xf numFmtId="166" fontId="0" fillId="2" borderId="38" xfId="5" applyFont="1" applyFill="1" applyBorder="1"/>
    <xf numFmtId="166" fontId="126" fillId="2" borderId="11" xfId="5" applyFont="1" applyFill="1" applyBorder="1" applyAlignment="1">
      <alignment horizontal="center"/>
    </xf>
    <xf numFmtId="49" fontId="0" fillId="2" borderId="0" xfId="0" applyNumberFormat="1" applyFill="1" applyAlignment="1">
      <alignment horizontal="center"/>
    </xf>
    <xf numFmtId="166" fontId="121" fillId="2" borderId="11" xfId="5" applyFont="1" applyFill="1" applyBorder="1" applyAlignment="1">
      <alignment horizontal="center"/>
    </xf>
    <xf numFmtId="167" fontId="126" fillId="2" borderId="11" xfId="5" applyNumberFormat="1" applyFont="1" applyFill="1" applyBorder="1" applyAlignment="1">
      <alignment horizontal="center"/>
    </xf>
    <xf numFmtId="166" fontId="0" fillId="2" borderId="0" xfId="5" applyFont="1" applyFill="1"/>
    <xf numFmtId="49" fontId="13" fillId="2" borderId="0" xfId="0" applyNumberFormat="1" applyFont="1" applyFill="1" applyAlignment="1">
      <alignment horizontal="center"/>
    </xf>
    <xf numFmtId="0" fontId="125" fillId="2" borderId="0" xfId="0" applyFont="1" applyFill="1"/>
    <xf numFmtId="173" fontId="125" fillId="2" borderId="0" xfId="0" applyNumberFormat="1" applyFont="1" applyFill="1"/>
    <xf numFmtId="0" fontId="10" fillId="2" borderId="0" xfId="0" applyFont="1" applyFill="1" applyAlignment="1">
      <alignment horizontal="center"/>
    </xf>
    <xf numFmtId="16" fontId="0" fillId="2" borderId="0" xfId="0" applyNumberFormat="1" applyFill="1"/>
    <xf numFmtId="166" fontId="13" fillId="0" borderId="0" xfId="0" applyNumberFormat="1" applyFont="1" applyAlignment="1">
      <alignment horizontal="justify" vertical="top"/>
    </xf>
    <xf numFmtId="14" fontId="13" fillId="0" borderId="0" xfId="0" applyNumberFormat="1" applyFont="1" applyAlignment="1">
      <alignment horizontal="center" vertical="center"/>
    </xf>
    <xf numFmtId="0" fontId="13" fillId="0" borderId="1" xfId="0" applyFont="1" applyBorder="1" applyAlignment="1">
      <alignment horizontal="justify" vertical="top"/>
    </xf>
    <xf numFmtId="166" fontId="13" fillId="0" borderId="1" xfId="0" applyNumberFormat="1" applyFont="1" applyBorder="1" applyAlignment="1">
      <alignment horizontal="justify" vertical="top"/>
    </xf>
    <xf numFmtId="166" fontId="0" fillId="0" borderId="35" xfId="5" applyFont="1" applyBorder="1" applyAlignment="1">
      <alignment wrapText="1"/>
    </xf>
    <xf numFmtId="166" fontId="0" fillId="0" borderId="37" xfId="5" applyFont="1" applyBorder="1" applyAlignment="1">
      <alignment wrapText="1"/>
    </xf>
    <xf numFmtId="0" fontId="13" fillId="0" borderId="3" xfId="0" applyFont="1" applyBorder="1" applyAlignment="1">
      <alignment horizontal="center" vertical="center"/>
    </xf>
    <xf numFmtId="0" fontId="13" fillId="0" borderId="1" xfId="0" applyFont="1" applyBorder="1" applyAlignment="1">
      <alignment horizontal="center" vertical="center"/>
    </xf>
    <xf numFmtId="0" fontId="13" fillId="0" borderId="5" xfId="0" applyFont="1" applyBorder="1" applyAlignment="1">
      <alignment horizontal="center" vertical="center"/>
    </xf>
    <xf numFmtId="14" fontId="0" fillId="0" borderId="30" xfId="0" applyNumberFormat="1" applyBorder="1" applyAlignment="1">
      <alignment horizontal="center"/>
    </xf>
    <xf numFmtId="0" fontId="135" fillId="0" borderId="0" xfId="0" applyFont="1"/>
    <xf numFmtId="14" fontId="0" fillId="0" borderId="28" xfId="0" applyNumberFormat="1" applyBorder="1" applyAlignment="1">
      <alignment horizontal="center"/>
    </xf>
    <xf numFmtId="14" fontId="0" fillId="0" borderId="34" xfId="0" applyNumberFormat="1" applyBorder="1" applyAlignment="1">
      <alignment horizontal="center"/>
    </xf>
    <xf numFmtId="14" fontId="136" fillId="0" borderId="1" xfId="0" applyNumberFormat="1" applyFont="1" applyBorder="1" applyAlignment="1">
      <alignment horizontal="center"/>
    </xf>
    <xf numFmtId="166" fontId="26" fillId="0" borderId="1" xfId="5" applyFont="1" applyBorder="1"/>
    <xf numFmtId="12" fontId="126" fillId="0" borderId="1" xfId="5" applyNumberFormat="1" applyFont="1" applyBorder="1" applyAlignment="1">
      <alignment horizontal="justify"/>
    </xf>
    <xf numFmtId="166" fontId="128" fillId="2" borderId="11" xfId="5" applyFont="1" applyFill="1" applyBorder="1" applyAlignment="1">
      <alignment horizontal="center"/>
    </xf>
    <xf numFmtId="166" fontId="22" fillId="0" borderId="1" xfId="5" applyFont="1" applyBorder="1"/>
    <xf numFmtId="172" fontId="14" fillId="0" borderId="1" xfId="5" applyNumberFormat="1" applyFont="1" applyBorder="1"/>
    <xf numFmtId="0" fontId="14" fillId="0" borderId="0" xfId="0" applyFont="1" applyAlignment="1">
      <alignment horizontal="center"/>
    </xf>
    <xf numFmtId="169" fontId="0" fillId="0" borderId="0" xfId="0" applyNumberFormat="1" applyAlignment="1">
      <alignment horizontal="center"/>
    </xf>
    <xf numFmtId="15" fontId="10" fillId="0" borderId="0" xfId="0" applyNumberFormat="1" applyFont="1"/>
    <xf numFmtId="174" fontId="11" fillId="0" borderId="1" xfId="0" applyNumberFormat="1" applyFont="1" applyBorder="1" applyAlignment="1">
      <alignment horizontal="center"/>
    </xf>
    <xf numFmtId="0" fontId="26" fillId="0" borderId="1" xfId="0" applyFont="1" applyBorder="1" applyAlignment="1">
      <alignment horizontal="center"/>
    </xf>
    <xf numFmtId="0" fontId="32" fillId="0" borderId="1" xfId="0" applyFont="1" applyBorder="1" applyAlignment="1">
      <alignment horizontal="center"/>
    </xf>
    <xf numFmtId="49" fontId="126" fillId="0" borderId="1" xfId="0" applyNumberFormat="1" applyFont="1" applyBorder="1" applyAlignment="1">
      <alignment horizontal="center"/>
    </xf>
    <xf numFmtId="16" fontId="126" fillId="0" borderId="1" xfId="0" applyNumberFormat="1" applyFont="1" applyBorder="1" applyAlignment="1">
      <alignment horizontal="center"/>
    </xf>
    <xf numFmtId="0" fontId="126" fillId="0" borderId="1" xfId="0" applyFont="1" applyBorder="1" applyAlignment="1">
      <alignment horizontal="center"/>
    </xf>
    <xf numFmtId="0" fontId="126" fillId="0" borderId="1" xfId="0" applyFont="1" applyBorder="1"/>
    <xf numFmtId="166" fontId="26" fillId="0" borderId="0" xfId="0" applyNumberFormat="1" applyFont="1" applyAlignment="1">
      <alignment horizontal="justify" vertical="top"/>
    </xf>
    <xf numFmtId="0" fontId="133" fillId="0" borderId="0" xfId="0" applyFont="1" applyAlignment="1">
      <alignment horizontal="left"/>
    </xf>
    <xf numFmtId="16" fontId="13" fillId="0" borderId="0" xfId="0" applyNumberFormat="1" applyFont="1"/>
    <xf numFmtId="16" fontId="0" fillId="0" borderId="0" xfId="0" applyNumberFormat="1" applyAlignment="1">
      <alignment horizontal="center"/>
    </xf>
    <xf numFmtId="172" fontId="0" fillId="0" borderId="0" xfId="5" applyNumberFormat="1" applyFont="1"/>
    <xf numFmtId="169" fontId="0" fillId="0" borderId="1" xfId="0" applyNumberFormat="1" applyBorder="1" applyAlignment="1">
      <alignment horizontal="center"/>
    </xf>
    <xf numFmtId="166" fontId="22" fillId="0" borderId="0" xfId="5" applyFont="1" applyAlignment="1">
      <alignment horizontal="center"/>
    </xf>
    <xf numFmtId="166" fontId="10" fillId="0" borderId="0" xfId="5" applyFont="1" applyAlignment="1">
      <alignment horizontal="center"/>
    </xf>
    <xf numFmtId="0" fontId="8" fillId="0" borderId="0" xfId="0" applyFont="1" applyFill="1" applyBorder="1" applyAlignment="1">
      <alignment horizontal="center" vertical="center"/>
    </xf>
    <xf numFmtId="0" fontId="6" fillId="0" borderId="0" xfId="0" applyFont="1" applyFill="1" applyBorder="1" applyAlignment="1">
      <alignment horizontal="center" vertical="center"/>
    </xf>
    <xf numFmtId="0" fontId="10" fillId="0" borderId="0" xfId="0" applyFont="1" applyFill="1" applyBorder="1" applyAlignment="1">
      <alignment horizontal="center" vertical="center"/>
    </xf>
    <xf numFmtId="14" fontId="4" fillId="0" borderId="0" xfId="5" applyNumberFormat="1" applyFont="1" applyFill="1" applyBorder="1" applyAlignment="1">
      <alignment horizontal="center" vertical="center"/>
    </xf>
    <xf numFmtId="0" fontId="9" fillId="0" borderId="0" xfId="0" applyFont="1" applyBorder="1" applyAlignment="1">
      <alignment horizontal="center"/>
    </xf>
    <xf numFmtId="0" fontId="6" fillId="0" borderId="0" xfId="0" applyFont="1" applyBorder="1"/>
    <xf numFmtId="0" fontId="11" fillId="0" borderId="0" xfId="0" applyFont="1" applyBorder="1"/>
    <xf numFmtId="16" fontId="13" fillId="0" borderId="0" xfId="0" applyNumberFormat="1" applyFont="1" applyBorder="1" applyAlignment="1">
      <alignment horizontal="center"/>
    </xf>
    <xf numFmtId="0" fontId="138" fillId="0" borderId="1" xfId="0" applyFont="1" applyBorder="1" applyAlignment="1">
      <alignment horizontal="center"/>
    </xf>
    <xf numFmtId="0" fontId="75" fillId="0" borderId="1" xfId="0" applyFont="1" applyBorder="1" applyAlignment="1">
      <alignment horizontal="left" indent="1"/>
    </xf>
    <xf numFmtId="0" fontId="4" fillId="0" borderId="1" xfId="0" applyFont="1" applyBorder="1" applyAlignment="1">
      <alignment horizontal="left" indent="1"/>
    </xf>
    <xf numFmtId="0" fontId="138" fillId="0" borderId="1" xfId="0" applyFont="1" applyBorder="1" applyAlignment="1">
      <alignment horizontal="left" indent="1"/>
    </xf>
    <xf numFmtId="0" fontId="139" fillId="0" borderId="1" xfId="0" applyFont="1" applyBorder="1" applyAlignment="1">
      <alignment horizontal="left" indent="1"/>
    </xf>
    <xf numFmtId="0" fontId="10" fillId="0" borderId="0" xfId="0" applyFont="1" applyBorder="1" applyAlignment="1">
      <alignment horizontal="center"/>
    </xf>
    <xf numFmtId="0" fontId="10" fillId="0" borderId="1" xfId="0" applyFont="1" applyBorder="1" applyAlignment="1">
      <alignment horizontal="justify"/>
    </xf>
    <xf numFmtId="166" fontId="5" fillId="0" borderId="0" xfId="5" applyFont="1" applyAlignment="1">
      <alignment horizontal="center"/>
    </xf>
    <xf numFmtId="10" fontId="5" fillId="0" borderId="0" xfId="9" applyNumberFormat="1" applyFont="1"/>
    <xf numFmtId="166" fontId="5" fillId="0" borderId="29" xfId="5" applyFont="1" applyBorder="1" applyAlignment="1">
      <alignment horizontal="center"/>
    </xf>
    <xf numFmtId="0" fontId="7" fillId="0" borderId="35" xfId="0" applyFont="1" applyBorder="1"/>
    <xf numFmtId="166" fontId="5" fillId="0" borderId="36" xfId="5" applyFont="1" applyBorder="1"/>
    <xf numFmtId="0" fontId="10" fillId="0" borderId="36" xfId="0" applyFont="1" applyBorder="1" applyAlignment="1">
      <alignment horizontal="center"/>
    </xf>
    <xf numFmtId="169" fontId="0" fillId="0" borderId="36" xfId="0" applyNumberFormat="1" applyBorder="1"/>
    <xf numFmtId="0" fontId="14" fillId="0" borderId="37" xfId="0" applyFont="1" applyBorder="1"/>
    <xf numFmtId="0" fontId="7" fillId="0" borderId="27" xfId="0" applyFont="1" applyBorder="1"/>
    <xf numFmtId="0" fontId="14" fillId="0" borderId="38" xfId="0" applyFont="1" applyBorder="1"/>
    <xf numFmtId="166" fontId="5" fillId="0" borderId="0" xfId="5" applyFont="1" applyBorder="1"/>
    <xf numFmtId="169" fontId="0" fillId="0" borderId="0" xfId="0" applyNumberFormat="1" applyBorder="1"/>
    <xf numFmtId="166" fontId="6" fillId="0" borderId="0" xfId="5" applyFont="1" applyBorder="1"/>
    <xf numFmtId="0" fontId="5" fillId="0" borderId="0" xfId="0" applyFont="1" applyBorder="1"/>
    <xf numFmtId="166" fontId="5" fillId="0" borderId="0" xfId="5" applyFont="1" applyBorder="1" applyAlignment="1">
      <alignment horizontal="center"/>
    </xf>
    <xf numFmtId="169" fontId="5" fillId="0" borderId="0" xfId="0" applyNumberFormat="1" applyFont="1" applyBorder="1"/>
    <xf numFmtId="0" fontId="115" fillId="0" borderId="0" xfId="0" applyFont="1" applyBorder="1"/>
    <xf numFmtId="166" fontId="115" fillId="0" borderId="0" xfId="5" applyFont="1" applyBorder="1" applyAlignment="1">
      <alignment horizontal="center"/>
    </xf>
    <xf numFmtId="0" fontId="7" fillId="0" borderId="28" xfId="0" applyFont="1" applyBorder="1"/>
    <xf numFmtId="0" fontId="5" fillId="0" borderId="29" xfId="0" applyFont="1" applyBorder="1"/>
    <xf numFmtId="166" fontId="10" fillId="0" borderId="29" xfId="5" applyFont="1" applyBorder="1" applyAlignment="1">
      <alignment horizontal="center"/>
    </xf>
    <xf numFmtId="169" fontId="0" fillId="0" borderId="29" xfId="0" applyNumberFormat="1" applyBorder="1"/>
    <xf numFmtId="0" fontId="14" fillId="0" borderId="18" xfId="0" applyFont="1" applyBorder="1"/>
    <xf numFmtId="166" fontId="22" fillId="0" borderId="0" xfId="5" applyFont="1" applyBorder="1" applyAlignment="1">
      <alignment horizontal="center"/>
    </xf>
    <xf numFmtId="169" fontId="5" fillId="0" borderId="1" xfId="0" applyNumberFormat="1" applyFont="1" applyBorder="1" applyAlignment="1">
      <alignment horizontal="center" vertical="center"/>
    </xf>
    <xf numFmtId="166" fontId="22" fillId="0" borderId="1" xfId="5" applyFont="1" applyBorder="1" applyAlignment="1">
      <alignment horizontal="center" vertical="center"/>
    </xf>
    <xf numFmtId="10" fontId="17" fillId="0" borderId="1" xfId="9" applyNumberFormat="1" applyFont="1" applyBorder="1" applyAlignment="1">
      <alignment vertical="center"/>
    </xf>
    <xf numFmtId="14" fontId="0" fillId="0" borderId="1" xfId="0" applyNumberFormat="1" applyBorder="1" applyAlignment="1">
      <alignment horizontal="center" vertical="center"/>
    </xf>
    <xf numFmtId="0" fontId="8" fillId="0" borderId="0" xfId="0" applyFont="1" applyAlignment="1">
      <alignment vertical="center"/>
    </xf>
    <xf numFmtId="0" fontId="8" fillId="0" borderId="0" xfId="0" applyFont="1" applyAlignment="1">
      <alignment horizontal="center" vertical="center"/>
    </xf>
    <xf numFmtId="0" fontId="142" fillId="0" borderId="0" xfId="0" applyFont="1" applyAlignment="1">
      <alignment horizontal="center" vertical="center"/>
    </xf>
    <xf numFmtId="0" fontId="7" fillId="0" borderId="39" xfId="0" applyFont="1" applyBorder="1" applyAlignment="1">
      <alignment horizontal="center"/>
    </xf>
    <xf numFmtId="165" fontId="6" fillId="0" borderId="63" xfId="3" applyFont="1" applyBorder="1" applyAlignment="1">
      <alignment horizontal="center" vertical="center"/>
    </xf>
    <xf numFmtId="165" fontId="6" fillId="0" borderId="41" xfId="3" applyFont="1" applyBorder="1" applyAlignment="1">
      <alignment horizontal="center"/>
    </xf>
    <xf numFmtId="165" fontId="6" fillId="0" borderId="64" xfId="3" applyFont="1" applyBorder="1" applyAlignment="1">
      <alignment horizontal="center" vertical="center"/>
    </xf>
    <xf numFmtId="165" fontId="6" fillId="0" borderId="41" xfId="3" applyFont="1" applyBorder="1" applyAlignment="1">
      <alignment horizontal="center" vertical="center"/>
    </xf>
    <xf numFmtId="165" fontId="6" fillId="0" borderId="65" xfId="3" applyFont="1" applyBorder="1" applyAlignment="1">
      <alignment horizontal="center" vertical="center"/>
    </xf>
    <xf numFmtId="0" fontId="7" fillId="0" borderId="61" xfId="0" applyFont="1" applyBorder="1" applyAlignment="1">
      <alignment horizontal="center"/>
    </xf>
    <xf numFmtId="165" fontId="6" fillId="0" borderId="66" xfId="3" applyFont="1" applyBorder="1" applyAlignment="1">
      <alignment horizontal="center" vertical="center"/>
    </xf>
    <xf numFmtId="165" fontId="7" fillId="0" borderId="62" xfId="3" applyFont="1" applyBorder="1" applyAlignment="1">
      <alignment horizontal="center"/>
    </xf>
    <xf numFmtId="165" fontId="7" fillId="0" borderId="57" xfId="3" applyFont="1" applyBorder="1" applyAlignment="1">
      <alignment horizontal="center" vertical="center"/>
    </xf>
    <xf numFmtId="165" fontId="6" fillId="0" borderId="67" xfId="3" applyFont="1" applyBorder="1" applyAlignment="1">
      <alignment horizontal="center" vertical="center"/>
    </xf>
    <xf numFmtId="0" fontId="142" fillId="0" borderId="38" xfId="0" applyFont="1" applyBorder="1" applyAlignment="1">
      <alignment horizontal="center" vertical="center"/>
    </xf>
    <xf numFmtId="176" fontId="142" fillId="0" borderId="0" xfId="6" applyNumberFormat="1" applyFont="1" applyBorder="1" applyAlignment="1">
      <alignment horizontal="center"/>
    </xf>
    <xf numFmtId="0" fontId="0" fillId="0" borderId="11" xfId="0" applyBorder="1" applyAlignment="1">
      <alignment horizontal="center" vertical="center"/>
    </xf>
    <xf numFmtId="0" fontId="142" fillId="0" borderId="12" xfId="0" applyFont="1" applyBorder="1" applyAlignment="1">
      <alignment horizontal="center" vertical="center"/>
    </xf>
    <xf numFmtId="0" fontId="8" fillId="0" borderId="18" xfId="0" applyFont="1" applyBorder="1" applyAlignment="1">
      <alignment horizontal="center" vertical="center"/>
    </xf>
    <xf numFmtId="176" fontId="142" fillId="0" borderId="29" xfId="6" applyNumberFormat="1" applyFont="1" applyBorder="1" applyAlignment="1">
      <alignment horizontal="center"/>
    </xf>
    <xf numFmtId="0" fontId="142" fillId="0" borderId="19" xfId="0" applyFont="1" applyBorder="1" applyAlignment="1">
      <alignment horizontal="center" vertical="center"/>
    </xf>
    <xf numFmtId="0" fontId="142" fillId="0" borderId="29" xfId="0" applyFont="1" applyBorder="1" applyAlignment="1">
      <alignment horizontal="center" vertical="center"/>
    </xf>
    <xf numFmtId="0" fontId="142" fillId="0" borderId="20" xfId="0" applyFont="1" applyBorder="1" applyAlignment="1">
      <alignment horizontal="center" vertical="center"/>
    </xf>
    <xf numFmtId="0" fontId="0" fillId="0" borderId="0" xfId="0" applyFill="1" applyBorder="1" applyAlignment="1">
      <alignment horizontal="center" vertical="center"/>
    </xf>
    <xf numFmtId="0" fontId="142" fillId="0" borderId="68" xfId="0" applyFont="1" applyBorder="1" applyAlignment="1">
      <alignment horizontal="center" vertical="center"/>
    </xf>
    <xf numFmtId="0" fontId="8" fillId="0" borderId="38" xfId="0" applyFont="1" applyBorder="1" applyAlignment="1">
      <alignment horizontal="center" vertical="center"/>
    </xf>
    <xf numFmtId="0" fontId="142" fillId="0" borderId="11" xfId="0" applyFont="1" applyBorder="1" applyAlignment="1">
      <alignment horizontal="center" vertical="center"/>
    </xf>
    <xf numFmtId="0" fontId="142" fillId="0" borderId="0" xfId="0" applyFont="1" applyFill="1" applyBorder="1" applyAlignment="1">
      <alignment horizontal="center" vertical="center"/>
    </xf>
    <xf numFmtId="0" fontId="142" fillId="0" borderId="37" xfId="0" applyFont="1" applyBorder="1" applyAlignment="1">
      <alignment horizontal="center" vertical="center"/>
    </xf>
    <xf numFmtId="176" fontId="142" fillId="0" borderId="36" xfId="6" applyNumberFormat="1" applyFont="1" applyBorder="1" applyAlignment="1">
      <alignment horizontal="center"/>
    </xf>
    <xf numFmtId="0" fontId="0" fillId="0" borderId="47" xfId="0" applyBorder="1" applyAlignment="1">
      <alignment horizontal="center" vertical="center"/>
    </xf>
    <xf numFmtId="0" fontId="0" fillId="0" borderId="36" xfId="0" applyBorder="1" applyAlignment="1">
      <alignment horizontal="center" vertical="center"/>
    </xf>
    <xf numFmtId="0" fontId="22" fillId="0" borderId="12" xfId="0" applyFont="1" applyBorder="1" applyAlignment="1">
      <alignment horizontal="center" vertical="center"/>
    </xf>
    <xf numFmtId="0" fontId="69" fillId="0" borderId="0" xfId="0" applyFont="1" applyBorder="1" applyAlignment="1">
      <alignment horizontal="left" vertical="center"/>
    </xf>
    <xf numFmtId="0" fontId="142" fillId="0" borderId="36" xfId="0" applyFont="1" applyBorder="1" applyAlignment="1">
      <alignment horizontal="center" vertical="center"/>
    </xf>
    <xf numFmtId="176" fontId="142" fillId="0" borderId="47" xfId="6" applyNumberFormat="1" applyFont="1" applyBorder="1" applyAlignment="1">
      <alignment horizontal="center"/>
    </xf>
    <xf numFmtId="0" fontId="8" fillId="0" borderId="0" xfId="0" applyFont="1" applyBorder="1" applyAlignment="1">
      <alignment horizontal="center" vertical="center"/>
    </xf>
    <xf numFmtId="0" fontId="142" fillId="0" borderId="11" xfId="0" applyFont="1" applyBorder="1" applyAlignment="1">
      <alignment horizontal="center"/>
    </xf>
    <xf numFmtId="0" fontId="69" fillId="0" borderId="29" xfId="0" applyFont="1" applyBorder="1" applyAlignment="1">
      <alignment horizontal="left" vertical="center"/>
    </xf>
    <xf numFmtId="0" fontId="0" fillId="0" borderId="29" xfId="0" applyBorder="1" applyAlignment="1">
      <alignment horizontal="center" vertical="center"/>
    </xf>
    <xf numFmtId="0" fontId="0" fillId="0" borderId="18" xfId="0" applyBorder="1" applyAlignment="1">
      <alignment horizontal="center" vertical="center"/>
    </xf>
    <xf numFmtId="176" fontId="142" fillId="0" borderId="11" xfId="6" applyNumberFormat="1" applyFont="1" applyBorder="1" applyAlignment="1">
      <alignment horizontal="center"/>
    </xf>
    <xf numFmtId="176" fontId="142" fillId="0" borderId="19" xfId="6" applyNumberFormat="1" applyFont="1" applyBorder="1" applyAlignment="1">
      <alignment horizontal="center"/>
    </xf>
    <xf numFmtId="0" fontId="69" fillId="0" borderId="11" xfId="0" applyFont="1" applyBorder="1" applyAlignment="1">
      <alignment horizontal="center" vertical="center"/>
    </xf>
    <xf numFmtId="0" fontId="133" fillId="0" borderId="38" xfId="0" applyFont="1" applyBorder="1" applyAlignment="1">
      <alignment horizontal="center" vertical="center"/>
    </xf>
    <xf numFmtId="0" fontId="115" fillId="0" borderId="29" xfId="0" applyFont="1" applyBorder="1" applyAlignment="1">
      <alignment horizontal="left" vertical="center"/>
    </xf>
    <xf numFmtId="0" fontId="0" fillId="0" borderId="36" xfId="0" applyFill="1" applyBorder="1" applyAlignment="1">
      <alignment horizontal="center" vertical="center"/>
    </xf>
    <xf numFmtId="0" fontId="142" fillId="0" borderId="29" xfId="0" applyFont="1" applyFill="1" applyBorder="1" applyAlignment="1">
      <alignment horizontal="center" vertical="center"/>
    </xf>
    <xf numFmtId="0" fontId="0" fillId="0" borderId="37" xfId="0" applyBorder="1" applyAlignment="1">
      <alignment horizontal="center" vertical="center"/>
    </xf>
    <xf numFmtId="0" fontId="143" fillId="0" borderId="0" xfId="0" applyFont="1" applyBorder="1" applyAlignment="1">
      <alignment horizontal="center" vertical="center"/>
    </xf>
    <xf numFmtId="0" fontId="143" fillId="0" borderId="11" xfId="0" applyFont="1" applyBorder="1" applyAlignment="1">
      <alignment horizontal="center" vertical="center"/>
    </xf>
    <xf numFmtId="0" fontId="143" fillId="0" borderId="38" xfId="0" applyFont="1" applyBorder="1" applyAlignment="1">
      <alignment horizontal="center" vertical="center"/>
    </xf>
    <xf numFmtId="0" fontId="71" fillId="0" borderId="47" xfId="0" applyFont="1" applyBorder="1" applyAlignment="1">
      <alignment horizontal="center" vertical="center"/>
    </xf>
    <xf numFmtId="0" fontId="133" fillId="0" borderId="18" xfId="0" applyFont="1" applyBorder="1" applyAlignment="1">
      <alignment horizontal="center" vertical="center"/>
    </xf>
    <xf numFmtId="0" fontId="22" fillId="0" borderId="19" xfId="0" applyFont="1" applyBorder="1" applyAlignment="1">
      <alignment horizontal="center" vertical="center"/>
    </xf>
    <xf numFmtId="0" fontId="22" fillId="0" borderId="29" xfId="0" applyFont="1" applyBorder="1" applyAlignment="1">
      <alignment horizontal="center" vertical="center"/>
    </xf>
    <xf numFmtId="0" fontId="142" fillId="0" borderId="29" xfId="0" applyFont="1" applyBorder="1" applyAlignment="1">
      <alignment horizontal="center"/>
    </xf>
    <xf numFmtId="0" fontId="69" fillId="0" borderId="47" xfId="0" applyFont="1" applyBorder="1" applyAlignment="1">
      <alignment horizontal="center" vertical="center"/>
    </xf>
    <xf numFmtId="0" fontId="133" fillId="0" borderId="66" xfId="0" applyFont="1" applyBorder="1" applyAlignment="1">
      <alignment horizontal="center" vertical="center"/>
    </xf>
    <xf numFmtId="0" fontId="142" fillId="0" borderId="62" xfId="0" applyFont="1" applyBorder="1" applyAlignment="1">
      <alignment horizontal="center"/>
    </xf>
    <xf numFmtId="0" fontId="142" fillId="0" borderId="57" xfId="0" applyFont="1" applyBorder="1" applyAlignment="1">
      <alignment horizontal="center" vertical="center"/>
    </xf>
    <xf numFmtId="0" fontId="142" fillId="0" borderId="62" xfId="0" applyFont="1" applyBorder="1" applyAlignment="1">
      <alignment horizontal="center" vertical="center"/>
    </xf>
    <xf numFmtId="0" fontId="142" fillId="0" borderId="67" xfId="0" applyFont="1" applyBorder="1" applyAlignment="1">
      <alignment horizontal="center" vertical="center"/>
    </xf>
    <xf numFmtId="0" fontId="143" fillId="0" borderId="0" xfId="0" applyFont="1" applyAlignment="1">
      <alignment vertical="center"/>
    </xf>
    <xf numFmtId="0" fontId="143" fillId="0" borderId="0" xfId="0" applyFont="1"/>
    <xf numFmtId="0" fontId="143" fillId="0" borderId="0" xfId="0" applyFont="1" applyAlignment="1">
      <alignment horizontal="center" vertical="center"/>
    </xf>
    <xf numFmtId="0" fontId="143" fillId="0" borderId="0" xfId="0" applyFont="1" applyAlignment="1">
      <alignment horizontal="left" vertical="center"/>
    </xf>
    <xf numFmtId="0" fontId="0" fillId="0" borderId="0" xfId="0" applyAlignment="1">
      <alignment horizontal="right" vertical="center"/>
    </xf>
    <xf numFmtId="14" fontId="145" fillId="0" borderId="0" xfId="0" applyNumberFormat="1" applyFont="1" applyAlignment="1">
      <alignment horizontal="center" vertical="center"/>
    </xf>
    <xf numFmtId="0" fontId="7" fillId="0" borderId="69" xfId="0" applyFont="1" applyBorder="1" applyAlignment="1">
      <alignment horizontal="center"/>
    </xf>
    <xf numFmtId="0" fontId="7" fillId="0" borderId="70" xfId="0" applyFont="1" applyBorder="1" applyAlignment="1">
      <alignment horizontal="center"/>
    </xf>
    <xf numFmtId="0" fontId="26" fillId="0" borderId="29" xfId="0" applyFont="1" applyBorder="1" applyAlignment="1">
      <alignment horizontal="left" vertical="center"/>
    </xf>
    <xf numFmtId="0" fontId="0" fillId="0" borderId="71" xfId="0" applyBorder="1" applyAlignment="1">
      <alignment horizontal="center" vertical="center"/>
    </xf>
    <xf numFmtId="0" fontId="13" fillId="0" borderId="0" xfId="0" applyFont="1" applyFill="1"/>
    <xf numFmtId="0" fontId="22" fillId="0" borderId="0" xfId="0" applyFont="1" applyFill="1" applyAlignment="1">
      <alignment horizontal="left"/>
    </xf>
    <xf numFmtId="0" fontId="22" fillId="0" borderId="0" xfId="0" applyFont="1" applyFill="1"/>
    <xf numFmtId="0" fontId="13" fillId="0" borderId="39" xfId="0" applyFont="1" applyFill="1" applyBorder="1"/>
    <xf numFmtId="0" fontId="10" fillId="0" borderId="39" xfId="0" applyFont="1" applyFill="1" applyBorder="1" applyAlignment="1">
      <alignment horizontal="center"/>
    </xf>
    <xf numFmtId="0" fontId="10" fillId="0" borderId="72" xfId="0" applyFont="1" applyFill="1" applyBorder="1" applyAlignment="1">
      <alignment horizontal="center"/>
    </xf>
    <xf numFmtId="0" fontId="10" fillId="0" borderId="72" xfId="0" applyFont="1" applyBorder="1" applyAlignment="1">
      <alignment horizontal="center"/>
    </xf>
    <xf numFmtId="0" fontId="22" fillId="0" borderId="39" xfId="0" applyFont="1" applyFill="1" applyBorder="1" applyAlignment="1">
      <alignment horizontal="center"/>
    </xf>
    <xf numFmtId="0" fontId="13" fillId="0" borderId="40" xfId="0" applyFont="1" applyFill="1" applyBorder="1"/>
    <xf numFmtId="0" fontId="10" fillId="0" borderId="40" xfId="0" applyFont="1" applyFill="1" applyBorder="1" applyAlignment="1">
      <alignment horizontal="center"/>
    </xf>
    <xf numFmtId="0" fontId="10" fillId="0" borderId="73" xfId="0" applyFont="1" applyFill="1" applyBorder="1" applyAlignment="1">
      <alignment horizontal="center"/>
    </xf>
    <xf numFmtId="0" fontId="10" fillId="0" borderId="73" xfId="0" applyFont="1" applyBorder="1" applyAlignment="1">
      <alignment horizontal="center"/>
    </xf>
    <xf numFmtId="0" fontId="22" fillId="0" borderId="40" xfId="0" applyFont="1" applyFill="1" applyBorder="1" applyAlignment="1">
      <alignment horizontal="center"/>
    </xf>
    <xf numFmtId="0" fontId="10" fillId="0" borderId="61" xfId="0" applyFont="1" applyFill="1" applyBorder="1" applyAlignment="1">
      <alignment horizontal="center"/>
    </xf>
    <xf numFmtId="0" fontId="10" fillId="0" borderId="60" xfId="0" applyFont="1" applyFill="1" applyBorder="1" applyAlignment="1">
      <alignment horizontal="center"/>
    </xf>
    <xf numFmtId="0" fontId="13" fillId="0" borderId="2" xfId="0" applyFont="1" applyFill="1" applyBorder="1" applyAlignment="1">
      <alignment horizontal="center"/>
    </xf>
    <xf numFmtId="0" fontId="22" fillId="0" borderId="7" xfId="0" applyFont="1" applyFill="1" applyBorder="1" applyAlignment="1">
      <alignment horizontal="center" vertical="center"/>
    </xf>
    <xf numFmtId="0" fontId="10" fillId="0" borderId="74" xfId="0" applyFont="1" applyFill="1" applyBorder="1" applyAlignment="1">
      <alignment horizontal="center" vertical="center"/>
    </xf>
    <xf numFmtId="0" fontId="10" fillId="0" borderId="3" xfId="0" applyFont="1" applyFill="1" applyBorder="1" applyAlignment="1">
      <alignment horizontal="center" vertical="center"/>
    </xf>
    <xf numFmtId="0" fontId="4" fillId="0" borderId="3" xfId="0" applyFont="1" applyFill="1" applyBorder="1" applyAlignment="1">
      <alignment horizontal="center" vertical="center"/>
    </xf>
    <xf numFmtId="167" fontId="4" fillId="0" borderId="3" xfId="5" applyNumberFormat="1" applyFont="1" applyBorder="1" applyAlignment="1">
      <alignment horizontal="center" vertical="center"/>
    </xf>
    <xf numFmtId="0" fontId="22" fillId="0" borderId="3" xfId="0" applyFont="1" applyFill="1" applyBorder="1" applyAlignment="1">
      <alignment horizontal="center" vertical="center"/>
    </xf>
    <xf numFmtId="0" fontId="4" fillId="0" borderId="33" xfId="0" applyFont="1" applyFill="1" applyBorder="1" applyAlignment="1">
      <alignment horizontal="center" vertical="center"/>
    </xf>
    <xf numFmtId="0" fontId="13" fillId="0" borderId="2" xfId="0" applyFont="1" applyFill="1" applyBorder="1" applyAlignment="1">
      <alignment horizontal="center" vertical="center"/>
    </xf>
    <xf numFmtId="0" fontId="13" fillId="0" borderId="3" xfId="0" applyFont="1" applyFill="1" applyBorder="1" applyAlignment="1">
      <alignment horizontal="center" vertical="center"/>
    </xf>
    <xf numFmtId="0" fontId="13" fillId="0" borderId="7" xfId="0" applyFont="1" applyFill="1" applyBorder="1" applyAlignment="1">
      <alignment horizontal="center" vertical="center"/>
    </xf>
    <xf numFmtId="0" fontId="13" fillId="0" borderId="8" xfId="0" applyFont="1" applyFill="1" applyBorder="1" applyAlignment="1">
      <alignment horizontal="center"/>
    </xf>
    <xf numFmtId="0" fontId="22" fillId="0" borderId="9" xfId="0" applyFont="1" applyFill="1" applyBorder="1" applyAlignment="1">
      <alignment horizontal="center" vertical="center"/>
    </xf>
    <xf numFmtId="0" fontId="10" fillId="0" borderId="22" xfId="0" applyFont="1" applyFill="1" applyBorder="1" applyAlignment="1">
      <alignment horizontal="center" vertical="center"/>
    </xf>
    <xf numFmtId="167" fontId="4" fillId="0" borderId="1" xfId="5" applyNumberFormat="1" applyFont="1" applyBorder="1" applyAlignment="1">
      <alignment horizontal="center" vertical="center"/>
    </xf>
    <xf numFmtId="0" fontId="22" fillId="0" borderId="1" xfId="0" applyFont="1" applyFill="1" applyBorder="1" applyAlignment="1">
      <alignment horizontal="center" vertical="center"/>
    </xf>
    <xf numFmtId="0" fontId="4" fillId="0" borderId="30" xfId="0" applyFont="1" applyFill="1" applyBorder="1" applyAlignment="1">
      <alignment horizontal="center" vertical="center"/>
    </xf>
    <xf numFmtId="0" fontId="13" fillId="0" borderId="8" xfId="0" applyFont="1" applyFill="1" applyBorder="1" applyAlignment="1">
      <alignment horizontal="center" vertical="center"/>
    </xf>
    <xf numFmtId="0" fontId="13" fillId="0" borderId="1" xfId="0" applyFont="1" applyFill="1" applyBorder="1" applyAlignment="1">
      <alignment horizontal="center" vertical="center"/>
    </xf>
    <xf numFmtId="0" fontId="13" fillId="0" borderId="9" xfId="0" applyFont="1" applyFill="1" applyBorder="1" applyAlignment="1">
      <alignment horizontal="center" vertical="center"/>
    </xf>
    <xf numFmtId="0" fontId="69" fillId="0" borderId="9" xfId="0" applyFont="1" applyFill="1" applyBorder="1" applyAlignment="1">
      <alignment horizontal="center" vertical="center"/>
    </xf>
    <xf numFmtId="0" fontId="71" fillId="0" borderId="22" xfId="0" applyFont="1" applyFill="1" applyBorder="1" applyAlignment="1">
      <alignment horizontal="center" vertical="center"/>
    </xf>
    <xf numFmtId="0" fontId="71" fillId="0" borderId="1" xfId="0" applyFont="1" applyFill="1" applyBorder="1" applyAlignment="1">
      <alignment horizontal="center" vertical="center"/>
    </xf>
    <xf numFmtId="0" fontId="38" fillId="0" borderId="1" xfId="0" applyFont="1" applyFill="1" applyBorder="1" applyAlignment="1">
      <alignment horizontal="center" vertical="center"/>
    </xf>
    <xf numFmtId="167" fontId="38" fillId="0" borderId="1" xfId="5" applyNumberFormat="1" applyFont="1" applyBorder="1" applyAlignment="1">
      <alignment horizontal="center" vertical="center"/>
    </xf>
    <xf numFmtId="0" fontId="69" fillId="0" borderId="1" xfId="0" applyFont="1" applyFill="1" applyBorder="1" applyAlignment="1">
      <alignment horizontal="center" vertical="center"/>
    </xf>
    <xf numFmtId="0" fontId="38" fillId="0" borderId="30" xfId="0" applyFont="1" applyFill="1" applyBorder="1" applyAlignment="1">
      <alignment horizontal="center" vertical="center"/>
    </xf>
    <xf numFmtId="0" fontId="27" fillId="0" borderId="0" xfId="0" applyFont="1" applyFill="1"/>
    <xf numFmtId="0" fontId="27" fillId="0" borderId="8" xfId="0" applyFont="1" applyFill="1" applyBorder="1" applyAlignment="1">
      <alignment horizontal="center"/>
    </xf>
    <xf numFmtId="0" fontId="51" fillId="2" borderId="9" xfId="0" applyFont="1" applyFill="1" applyBorder="1" applyAlignment="1">
      <alignment horizontal="center" vertical="center"/>
    </xf>
    <xf numFmtId="0" fontId="46" fillId="0" borderId="22" xfId="0" applyFont="1" applyFill="1" applyBorder="1" applyAlignment="1">
      <alignment horizontal="center" vertical="center"/>
    </xf>
    <xf numFmtId="0" fontId="46" fillId="0" borderId="1" xfId="0" applyFont="1" applyFill="1" applyBorder="1" applyAlignment="1">
      <alignment horizontal="center" vertical="center"/>
    </xf>
    <xf numFmtId="0" fontId="47" fillId="0" borderId="1" xfId="0" applyFont="1" applyFill="1" applyBorder="1" applyAlignment="1">
      <alignment horizontal="center" vertical="center"/>
    </xf>
    <xf numFmtId="167" fontId="47" fillId="0" borderId="1" xfId="5" applyNumberFormat="1" applyFont="1" applyBorder="1" applyAlignment="1">
      <alignment horizontal="center" vertical="center"/>
    </xf>
    <xf numFmtId="0" fontId="51" fillId="2" borderId="1" xfId="0" applyFont="1" applyFill="1" applyBorder="1" applyAlignment="1">
      <alignment horizontal="center" vertical="center"/>
    </xf>
    <xf numFmtId="0" fontId="47" fillId="0" borderId="30" xfId="0" applyFont="1" applyFill="1" applyBorder="1" applyAlignment="1">
      <alignment horizontal="center" vertical="center"/>
    </xf>
    <xf numFmtId="0" fontId="27" fillId="0" borderId="8" xfId="0" applyFont="1" applyFill="1" applyBorder="1" applyAlignment="1">
      <alignment horizontal="center" vertical="center"/>
    </xf>
    <xf numFmtId="0" fontId="27" fillId="0" borderId="1" xfId="0" applyFont="1" applyFill="1" applyBorder="1" applyAlignment="1">
      <alignment horizontal="center" vertical="center"/>
    </xf>
    <xf numFmtId="0" fontId="27" fillId="0" borderId="9" xfId="0" applyFont="1" applyFill="1" applyBorder="1" applyAlignment="1">
      <alignment horizontal="center" vertical="center"/>
    </xf>
    <xf numFmtId="0" fontId="10" fillId="0" borderId="1" xfId="0" applyFont="1" applyFill="1" applyBorder="1" applyAlignment="1">
      <alignment horizontal="center"/>
    </xf>
    <xf numFmtId="0" fontId="147" fillId="0" borderId="0" xfId="0" applyFont="1" applyFill="1"/>
    <xf numFmtId="0" fontId="13" fillId="0" borderId="75" xfId="0" applyFont="1" applyFill="1" applyBorder="1" applyAlignment="1">
      <alignment horizontal="center"/>
    </xf>
    <xf numFmtId="0" fontId="22" fillId="0" borderId="76" xfId="0" applyFont="1" applyFill="1" applyBorder="1" applyAlignment="1">
      <alignment horizontal="center" vertical="center"/>
    </xf>
    <xf numFmtId="0" fontId="10" fillId="0" borderId="77" xfId="0" applyFont="1" applyFill="1" applyBorder="1" applyAlignment="1">
      <alignment horizontal="center" vertical="center"/>
    </xf>
    <xf numFmtId="0" fontId="10" fillId="0" borderId="78" xfId="0" applyFont="1" applyFill="1" applyBorder="1" applyAlignment="1">
      <alignment horizontal="center" vertical="center"/>
    </xf>
    <xf numFmtId="0" fontId="4" fillId="0" borderId="78" xfId="0" applyFont="1" applyFill="1" applyBorder="1" applyAlignment="1">
      <alignment horizontal="center" vertical="center"/>
    </xf>
    <xf numFmtId="167" fontId="4" fillId="0" borderId="78" xfId="5" applyNumberFormat="1" applyFont="1" applyBorder="1" applyAlignment="1">
      <alignment horizontal="center" vertical="center"/>
    </xf>
    <xf numFmtId="0" fontId="22" fillId="0" borderId="78" xfId="0" applyFont="1" applyFill="1" applyBorder="1" applyAlignment="1">
      <alignment horizontal="center" vertical="center"/>
    </xf>
    <xf numFmtId="0" fontId="4" fillId="0" borderId="79" xfId="0" applyFont="1" applyFill="1" applyBorder="1" applyAlignment="1">
      <alignment horizontal="center" vertical="center"/>
    </xf>
    <xf numFmtId="0" fontId="13" fillId="0" borderId="58" xfId="0" applyFont="1" applyFill="1" applyBorder="1" applyAlignment="1">
      <alignment horizontal="center"/>
    </xf>
    <xf numFmtId="0" fontId="10" fillId="0" borderId="18" xfId="0" applyFont="1" applyFill="1" applyBorder="1" applyAlignment="1">
      <alignment horizontal="center" vertical="center"/>
    </xf>
    <xf numFmtId="0" fontId="10" fillId="0" borderId="19" xfId="0" applyFont="1" applyFill="1" applyBorder="1" applyAlignment="1">
      <alignment horizontal="center" vertical="center"/>
    </xf>
    <xf numFmtId="0" fontId="4" fillId="0" borderId="19" xfId="0" applyFont="1" applyFill="1" applyBorder="1" applyAlignment="1">
      <alignment horizontal="center" vertical="center"/>
    </xf>
    <xf numFmtId="167" fontId="4" fillId="0" borderId="19" xfId="5" applyNumberFormat="1" applyFont="1" applyFill="1" applyBorder="1" applyAlignment="1">
      <alignment horizontal="center" vertical="center"/>
    </xf>
    <xf numFmtId="0" fontId="22" fillId="0" borderId="19" xfId="0" applyFont="1" applyFill="1" applyBorder="1" applyAlignment="1">
      <alignment horizontal="center" vertical="center"/>
    </xf>
    <xf numFmtId="0" fontId="4" fillId="0" borderId="28" xfId="0" applyFont="1" applyFill="1" applyBorder="1" applyAlignment="1">
      <alignment horizontal="center" vertical="center"/>
    </xf>
    <xf numFmtId="167" fontId="4" fillId="0" borderId="1" xfId="5" applyNumberFormat="1" applyFont="1" applyFill="1" applyBorder="1" applyAlignment="1">
      <alignment horizontal="center" vertical="center"/>
    </xf>
    <xf numFmtId="0" fontId="26" fillId="0" borderId="0" xfId="0" applyFont="1" applyFill="1"/>
    <xf numFmtId="0" fontId="26" fillId="0" borderId="8" xfId="0" applyFont="1" applyFill="1" applyBorder="1" applyAlignment="1">
      <alignment horizontal="center"/>
    </xf>
    <xf numFmtId="167" fontId="38" fillId="0" borderId="1" xfId="5" applyNumberFormat="1" applyFont="1" applyFill="1" applyBorder="1" applyAlignment="1">
      <alignment horizontal="center" vertical="center"/>
    </xf>
    <xf numFmtId="0" fontId="69" fillId="2" borderId="1" xfId="0" applyFont="1" applyFill="1" applyBorder="1" applyAlignment="1">
      <alignment horizontal="center" vertical="center"/>
    </xf>
    <xf numFmtId="0" fontId="26" fillId="0" borderId="8" xfId="0" applyFont="1" applyFill="1" applyBorder="1" applyAlignment="1">
      <alignment horizontal="center" vertical="center"/>
    </xf>
    <xf numFmtId="0" fontId="26" fillId="0" borderId="1" xfId="0" applyFont="1" applyFill="1" applyBorder="1" applyAlignment="1">
      <alignment horizontal="center" vertical="center"/>
    </xf>
    <xf numFmtId="0" fontId="26" fillId="0" borderId="9" xfId="0" applyFont="1" applyFill="1" applyBorder="1" applyAlignment="1">
      <alignment horizontal="center" vertical="center"/>
    </xf>
    <xf numFmtId="167" fontId="47" fillId="0" borderId="1" xfId="5" applyNumberFormat="1" applyFont="1" applyFill="1" applyBorder="1" applyAlignment="1">
      <alignment horizontal="center" vertical="center"/>
    </xf>
    <xf numFmtId="167" fontId="4" fillId="0" borderId="78" xfId="5" applyNumberFormat="1" applyFont="1" applyFill="1" applyBorder="1" applyAlignment="1">
      <alignment horizontal="center" vertical="center"/>
    </xf>
    <xf numFmtId="0" fontId="22" fillId="0" borderId="20" xfId="0" applyFont="1" applyFill="1" applyBorder="1" applyAlignment="1">
      <alignment horizontal="center"/>
    </xf>
    <xf numFmtId="0" fontId="22" fillId="0" borderId="9" xfId="0" applyFont="1" applyFill="1" applyBorder="1" applyAlignment="1">
      <alignment horizontal="center"/>
    </xf>
    <xf numFmtId="0" fontId="22" fillId="0" borderId="1" xfId="0" applyFont="1" applyFill="1" applyBorder="1" applyAlignment="1">
      <alignment horizontal="center"/>
    </xf>
    <xf numFmtId="0" fontId="13" fillId="0" borderId="80" xfId="0" applyFont="1" applyFill="1" applyBorder="1" applyAlignment="1">
      <alignment horizontal="center"/>
    </xf>
    <xf numFmtId="0" fontId="22" fillId="0" borderId="68" xfId="0" applyFont="1" applyFill="1" applyBorder="1" applyAlignment="1">
      <alignment horizontal="center"/>
    </xf>
    <xf numFmtId="0" fontId="10" fillId="0" borderId="37" xfId="0" applyFont="1" applyFill="1" applyBorder="1" applyAlignment="1">
      <alignment horizontal="center" vertical="center"/>
    </xf>
    <xf numFmtId="0" fontId="10" fillId="0" borderId="47" xfId="0" applyFont="1" applyFill="1" applyBorder="1" applyAlignment="1">
      <alignment horizontal="center" vertical="center"/>
    </xf>
    <xf numFmtId="0" fontId="4" fillId="0" borderId="47" xfId="0" applyFont="1" applyFill="1" applyBorder="1" applyAlignment="1">
      <alignment horizontal="center" vertical="center"/>
    </xf>
    <xf numFmtId="167" fontId="4" fillId="0" borderId="47" xfId="5" applyNumberFormat="1" applyFont="1" applyFill="1" applyBorder="1" applyAlignment="1">
      <alignment horizontal="center" vertical="center"/>
    </xf>
    <xf numFmtId="0" fontId="4" fillId="0" borderId="35" xfId="0" applyFont="1" applyFill="1" applyBorder="1" applyAlignment="1">
      <alignment horizontal="center" vertical="center"/>
    </xf>
    <xf numFmtId="0" fontId="13" fillId="0" borderId="4" xfId="0" applyFont="1" applyFill="1" applyBorder="1" applyAlignment="1">
      <alignment horizontal="center"/>
    </xf>
    <xf numFmtId="0" fontId="22" fillId="0" borderId="6" xfId="0" applyFont="1" applyFill="1" applyBorder="1" applyAlignment="1">
      <alignment horizontal="center"/>
    </xf>
    <xf numFmtId="0" fontId="10" fillId="0" borderId="24" xfId="0" applyFont="1" applyFill="1" applyBorder="1" applyAlignment="1">
      <alignment horizontal="center" vertical="center"/>
    </xf>
    <xf numFmtId="0" fontId="10" fillId="0" borderId="5" xfId="0" applyFont="1" applyFill="1" applyBorder="1" applyAlignment="1">
      <alignment horizontal="center" vertical="center"/>
    </xf>
    <xf numFmtId="0" fontId="4" fillId="0" borderId="5" xfId="0" applyFont="1" applyFill="1" applyBorder="1" applyAlignment="1">
      <alignment horizontal="center" vertical="center"/>
    </xf>
    <xf numFmtId="167" fontId="4" fillId="0" borderId="5" xfId="5" applyNumberFormat="1" applyFont="1" applyFill="1" applyBorder="1" applyAlignment="1">
      <alignment horizontal="center" vertical="center"/>
    </xf>
    <xf numFmtId="0" fontId="22" fillId="0" borderId="5" xfId="0" applyFont="1" applyFill="1" applyBorder="1" applyAlignment="1">
      <alignment horizontal="center" vertical="center"/>
    </xf>
    <xf numFmtId="0" fontId="4" fillId="0" borderId="34" xfId="0" applyFont="1" applyFill="1" applyBorder="1" applyAlignment="1">
      <alignment horizontal="center" vertical="center"/>
    </xf>
    <xf numFmtId="0" fontId="13" fillId="0" borderId="4" xfId="0" applyFont="1" applyFill="1" applyBorder="1" applyAlignment="1">
      <alignment horizontal="center" vertical="center"/>
    </xf>
    <xf numFmtId="0" fontId="13" fillId="0" borderId="5" xfId="0" applyFont="1" applyFill="1" applyBorder="1" applyAlignment="1">
      <alignment horizontal="center" vertical="center"/>
    </xf>
    <xf numFmtId="0" fontId="13" fillId="0" borderId="6" xfId="0" applyFont="1" applyFill="1" applyBorder="1" applyAlignment="1">
      <alignment horizontal="center" vertical="center"/>
    </xf>
    <xf numFmtId="0" fontId="4" fillId="0" borderId="7" xfId="0" applyFont="1" applyFill="1" applyBorder="1" applyAlignment="1">
      <alignment horizontal="center" vertical="center"/>
    </xf>
    <xf numFmtId="0" fontId="4" fillId="0" borderId="9" xfId="0" applyFont="1" applyFill="1" applyBorder="1" applyAlignment="1">
      <alignment horizontal="center" vertical="center"/>
    </xf>
    <xf numFmtId="0" fontId="22" fillId="0" borderId="6" xfId="0" applyFont="1" applyFill="1" applyBorder="1" applyAlignment="1">
      <alignment horizontal="center" vertical="center"/>
    </xf>
    <xf numFmtId="167" fontId="4" fillId="0" borderId="5" xfId="5" applyNumberFormat="1" applyFont="1" applyBorder="1" applyAlignment="1">
      <alignment horizontal="center" vertical="center"/>
    </xf>
    <xf numFmtId="0" fontId="4" fillId="0" borderId="6" xfId="0" applyFont="1" applyFill="1" applyBorder="1" applyAlignment="1">
      <alignment horizontal="center" vertical="center"/>
    </xf>
    <xf numFmtId="0" fontId="148" fillId="0" borderId="8" xfId="0" applyFont="1" applyFill="1" applyBorder="1" applyAlignment="1">
      <alignment horizontal="center"/>
    </xf>
    <xf numFmtId="0" fontId="149" fillId="2" borderId="9" xfId="0" applyFont="1" applyFill="1" applyBorder="1" applyAlignment="1">
      <alignment horizontal="center" vertical="center"/>
    </xf>
    <xf numFmtId="0" fontId="150" fillId="0" borderId="22" xfId="0" applyFont="1" applyFill="1" applyBorder="1" applyAlignment="1">
      <alignment horizontal="center" vertical="center"/>
    </xf>
    <xf numFmtId="0" fontId="150" fillId="0" borderId="1" xfId="0" applyFont="1" applyFill="1" applyBorder="1" applyAlignment="1">
      <alignment horizontal="center" vertical="center"/>
    </xf>
    <xf numFmtId="0" fontId="151" fillId="0" borderId="1" xfId="0" applyFont="1" applyFill="1" applyBorder="1" applyAlignment="1">
      <alignment horizontal="center" vertical="center"/>
    </xf>
    <xf numFmtId="167" fontId="151" fillId="0" borderId="1" xfId="5" applyNumberFormat="1" applyFont="1" applyFill="1" applyBorder="1" applyAlignment="1">
      <alignment horizontal="center" vertical="center"/>
    </xf>
    <xf numFmtId="0" fontId="152" fillId="2" borderId="1" xfId="0" applyFont="1" applyFill="1" applyBorder="1" applyAlignment="1">
      <alignment horizontal="center" vertical="center"/>
    </xf>
    <xf numFmtId="0" fontId="151" fillId="0" borderId="30" xfId="0" applyFont="1" applyFill="1" applyBorder="1" applyAlignment="1">
      <alignment horizontal="center" vertical="center"/>
    </xf>
    <xf numFmtId="0" fontId="148" fillId="0" borderId="8" xfId="0" applyFont="1" applyFill="1" applyBorder="1" applyAlignment="1">
      <alignment horizontal="center" vertical="center"/>
    </xf>
    <xf numFmtId="0" fontId="148" fillId="0" borderId="1" xfId="0" applyFont="1" applyFill="1" applyBorder="1" applyAlignment="1">
      <alignment horizontal="center" vertical="center"/>
    </xf>
    <xf numFmtId="0" fontId="148" fillId="0" borderId="9" xfId="0" applyFont="1" applyFill="1" applyBorder="1" applyAlignment="1">
      <alignment horizontal="center" vertical="center"/>
    </xf>
    <xf numFmtId="0" fontId="153" fillId="0" borderId="0" xfId="0" applyFont="1" applyFill="1"/>
    <xf numFmtId="167" fontId="151" fillId="0" borderId="1" xfId="5" applyNumberFormat="1" applyFont="1" applyBorder="1" applyAlignment="1">
      <alignment horizontal="center" vertical="center"/>
    </xf>
    <xf numFmtId="0" fontId="6" fillId="0" borderId="0" xfId="0" applyFont="1" applyFill="1" applyBorder="1" applyAlignment="1">
      <alignment horizontal="left" vertical="center"/>
    </xf>
    <xf numFmtId="0" fontId="13" fillId="0" borderId="0" xfId="0" applyFont="1" applyFill="1" applyBorder="1" applyAlignment="1">
      <alignment horizontal="left" vertical="center"/>
    </xf>
    <xf numFmtId="0" fontId="7" fillId="0" borderId="0" xfId="0" applyFont="1" applyFill="1" applyBorder="1" applyAlignment="1">
      <alignment horizontal="center" vertical="center"/>
    </xf>
    <xf numFmtId="0" fontId="13" fillId="0" borderId="0" xfId="0" applyFont="1" applyFill="1" applyBorder="1" applyAlignment="1">
      <alignment horizontal="center" vertical="center"/>
    </xf>
    <xf numFmtId="14" fontId="13" fillId="0" borderId="0" xfId="5" applyNumberFormat="1" applyFont="1" applyFill="1" applyBorder="1" applyAlignment="1">
      <alignment horizontal="center" vertical="center"/>
    </xf>
    <xf numFmtId="0" fontId="154" fillId="0" borderId="0" xfId="0" applyFont="1" applyBorder="1" applyAlignment="1">
      <alignment horizontal="center"/>
    </xf>
    <xf numFmtId="167" fontId="13" fillId="0" borderId="0" xfId="5" applyNumberFormat="1" applyFont="1" applyFill="1" applyBorder="1" applyAlignment="1">
      <alignment horizontal="center" vertical="center"/>
    </xf>
    <xf numFmtId="14" fontId="116" fillId="0" borderId="0" xfId="5" applyNumberFormat="1" applyFont="1" applyFill="1" applyBorder="1" applyAlignment="1">
      <alignment horizontal="center" vertical="center"/>
    </xf>
    <xf numFmtId="0" fontId="116" fillId="0" borderId="0" xfId="0" applyFont="1" applyFill="1" applyBorder="1" applyAlignment="1">
      <alignment horizontal="left" vertical="center"/>
    </xf>
    <xf numFmtId="0" fontId="155" fillId="0" borderId="0" xfId="0" applyFont="1" applyBorder="1"/>
    <xf numFmtId="0" fontId="7" fillId="0" borderId="0" xfId="0" applyFont="1" applyBorder="1"/>
    <xf numFmtId="0" fontId="13" fillId="0" borderId="0" xfId="0" applyFont="1" applyBorder="1"/>
    <xf numFmtId="169" fontId="155" fillId="0" borderId="0" xfId="0" applyNumberFormat="1" applyFont="1"/>
    <xf numFmtId="0" fontId="155" fillId="0" borderId="0" xfId="0" applyFont="1"/>
    <xf numFmtId="0" fontId="51" fillId="0" borderId="1" xfId="0" applyFont="1" applyFill="1" applyBorder="1" applyAlignment="1">
      <alignment horizontal="center"/>
    </xf>
    <xf numFmtId="0" fontId="51" fillId="0" borderId="47" xfId="0" applyFont="1" applyFill="1" applyBorder="1" applyAlignment="1">
      <alignment horizontal="center" vertical="center"/>
    </xf>
    <xf numFmtId="14" fontId="103" fillId="0" borderId="0" xfId="0" applyNumberFormat="1" applyFont="1" applyBorder="1" applyAlignment="1">
      <alignment horizontal="center"/>
    </xf>
    <xf numFmtId="0" fontId="69" fillId="0" borderId="9" xfId="0" applyFont="1" applyFill="1" applyBorder="1" applyAlignment="1">
      <alignment horizontal="center"/>
    </xf>
    <xf numFmtId="0" fontId="69" fillId="0" borderId="1" xfId="0" applyFont="1" applyFill="1" applyBorder="1" applyAlignment="1">
      <alignment horizontal="center"/>
    </xf>
    <xf numFmtId="0" fontId="133" fillId="0" borderId="1" xfId="0" applyFont="1" applyFill="1" applyBorder="1" applyAlignment="1">
      <alignment horizontal="center" vertical="center"/>
    </xf>
    <xf numFmtId="0" fontId="5" fillId="0" borderId="0" xfId="0" applyFont="1" applyAlignment="1">
      <alignment horizontal="center"/>
    </xf>
    <xf numFmtId="0" fontId="156" fillId="0" borderId="1" xfId="0" applyFont="1" applyBorder="1" applyAlignment="1">
      <alignment horizontal="center"/>
    </xf>
    <xf numFmtId="0" fontId="157" fillId="0" borderId="1" xfId="0" applyFont="1" applyBorder="1" applyAlignment="1">
      <alignment horizontal="left" indent="1"/>
    </xf>
    <xf numFmtId="0" fontId="158" fillId="0" borderId="0" xfId="0" applyFont="1" applyAlignment="1">
      <alignment horizontal="center"/>
    </xf>
    <xf numFmtId="0" fontId="158" fillId="0" borderId="0" xfId="0" applyFont="1" applyAlignment="1"/>
    <xf numFmtId="0" fontId="159" fillId="0" borderId="81" xfId="0" applyFont="1" applyBorder="1" applyAlignment="1">
      <alignment vertical="top" wrapText="1"/>
    </xf>
    <xf numFmtId="0" fontId="5" fillId="0" borderId="1" xfId="0" applyFont="1" applyBorder="1" applyAlignment="1">
      <alignment horizontal="center"/>
    </xf>
    <xf numFmtId="0" fontId="161" fillId="0" borderId="1" xfId="0" applyFont="1" applyBorder="1" applyAlignment="1">
      <alignment horizontal="center"/>
    </xf>
    <xf numFmtId="0" fontId="162" fillId="0" borderId="1" xfId="0" applyFont="1" applyBorder="1" applyAlignment="1">
      <alignment horizontal="left" indent="1"/>
    </xf>
    <xf numFmtId="0" fontId="115" fillId="0" borderId="1" xfId="0" applyFont="1" applyBorder="1" applyAlignment="1">
      <alignment horizontal="center"/>
    </xf>
    <xf numFmtId="0" fontId="126" fillId="0" borderId="0" xfId="0" applyFont="1" applyAlignment="1">
      <alignment horizontal="center"/>
    </xf>
    <xf numFmtId="0" fontId="26" fillId="0" borderId="1" xfId="0" applyFont="1" applyBorder="1" applyAlignment="1">
      <alignment horizontal="left" indent="1"/>
    </xf>
    <xf numFmtId="0" fontId="7" fillId="0" borderId="1" xfId="0" applyFont="1" applyBorder="1" applyAlignment="1">
      <alignment horizontal="justify" vertical="center"/>
    </xf>
    <xf numFmtId="0" fontId="7" fillId="0" borderId="1" xfId="0" applyFont="1" applyFill="1" applyBorder="1" applyAlignment="1">
      <alignment horizontal="center" vertical="center"/>
    </xf>
    <xf numFmtId="0" fontId="7" fillId="0" borderId="1" xfId="0" applyFont="1" applyBorder="1" applyAlignment="1">
      <alignment horizontal="center" vertical="center"/>
    </xf>
    <xf numFmtId="0" fontId="160" fillId="0" borderId="82" xfId="0" applyFont="1" applyBorder="1" applyAlignment="1">
      <alignment vertical="top" wrapText="1"/>
    </xf>
    <xf numFmtId="0" fontId="131" fillId="0" borderId="1" xfId="0" applyFont="1" applyFill="1" applyBorder="1" applyAlignment="1">
      <alignment horizontal="center" vertical="center"/>
    </xf>
    <xf numFmtId="0" fontId="40" fillId="0" borderId="1" xfId="0" applyFont="1" applyBorder="1"/>
    <xf numFmtId="0" fontId="10" fillId="0" borderId="1" xfId="0" applyFont="1" applyBorder="1" applyAlignment="1">
      <alignment horizontal="center"/>
    </xf>
    <xf numFmtId="0" fontId="47" fillId="0" borderId="0" xfId="0" applyFont="1" applyAlignment="1">
      <alignment horizontal="center"/>
    </xf>
    <xf numFmtId="0" fontId="8" fillId="0" borderId="8" xfId="0" applyFont="1" applyFill="1" applyBorder="1" applyAlignment="1">
      <alignment horizontal="center" vertical="center"/>
    </xf>
    <xf numFmtId="0" fontId="29" fillId="0" borderId="8" xfId="0" applyFont="1" applyFill="1" applyBorder="1" applyAlignment="1">
      <alignment horizontal="center" vertical="center"/>
    </xf>
    <xf numFmtId="0" fontId="40" fillId="0" borderId="5" xfId="0" applyFont="1" applyBorder="1"/>
    <xf numFmtId="0" fontId="11" fillId="0" borderId="5" xfId="0" applyFont="1" applyBorder="1"/>
    <xf numFmtId="0" fontId="8" fillId="0" borderId="4" xfId="0" applyFont="1" applyFill="1" applyBorder="1" applyAlignment="1">
      <alignment horizontal="center" vertical="center"/>
    </xf>
    <xf numFmtId="14" fontId="4" fillId="0" borderId="5" xfId="5" applyNumberFormat="1" applyFont="1" applyFill="1" applyBorder="1" applyAlignment="1">
      <alignment horizontal="center" vertical="center"/>
    </xf>
    <xf numFmtId="0" fontId="8" fillId="0" borderId="58" xfId="0" applyFont="1" applyFill="1" applyBorder="1" applyAlignment="1">
      <alignment horizontal="center" vertical="center"/>
    </xf>
    <xf numFmtId="14" fontId="4" fillId="0" borderId="19" xfId="5" applyNumberFormat="1" applyFont="1" applyFill="1" applyBorder="1" applyAlignment="1">
      <alignment horizontal="center" vertical="center"/>
    </xf>
    <xf numFmtId="0" fontId="6" fillId="0" borderId="83" xfId="0" applyFont="1" applyFill="1" applyBorder="1" applyAlignment="1">
      <alignment horizontal="center"/>
    </xf>
    <xf numFmtId="0" fontId="6" fillId="0" borderId="84" xfId="0" applyFont="1" applyFill="1" applyBorder="1" applyAlignment="1">
      <alignment horizontal="center"/>
    </xf>
    <xf numFmtId="0" fontId="7" fillId="0" borderId="84" xfId="0" applyFont="1" applyFill="1" applyBorder="1" applyAlignment="1">
      <alignment horizontal="center"/>
    </xf>
    <xf numFmtId="0" fontId="6" fillId="0" borderId="25" xfId="0" applyFont="1" applyFill="1" applyBorder="1" applyAlignment="1">
      <alignment horizontal="center"/>
    </xf>
    <xf numFmtId="169" fontId="7" fillId="0" borderId="84" xfId="0" applyNumberFormat="1" applyFont="1" applyFill="1" applyBorder="1" applyAlignment="1">
      <alignment horizontal="center"/>
    </xf>
    <xf numFmtId="0" fontId="164" fillId="0" borderId="0" xfId="0" applyFont="1" applyBorder="1" applyAlignment="1">
      <alignment horizontal="center"/>
    </xf>
    <xf numFmtId="167" fontId="52" fillId="0" borderId="0" xfId="5" applyNumberFormat="1" applyFont="1" applyFill="1" applyBorder="1" applyAlignment="1">
      <alignment horizontal="center" vertical="center"/>
    </xf>
    <xf numFmtId="0" fontId="107" fillId="0" borderId="0" xfId="0" applyFont="1" applyBorder="1"/>
    <xf numFmtId="0" fontId="165" fillId="0" borderId="0" xfId="0" applyFont="1" applyBorder="1" applyAlignment="1">
      <alignment horizontal="left" indent="1"/>
    </xf>
    <xf numFmtId="0" fontId="166" fillId="0" borderId="0" xfId="0" applyFont="1" applyBorder="1" applyAlignment="1">
      <alignment horizontal="center"/>
    </xf>
    <xf numFmtId="164" fontId="0" fillId="0" borderId="1" xfId="0" applyNumberFormat="1" applyBorder="1"/>
    <xf numFmtId="166" fontId="7" fillId="0" borderId="85" xfId="5" applyFont="1" applyBorder="1"/>
    <xf numFmtId="14" fontId="0" fillId="0" borderId="0" xfId="0" applyNumberFormat="1" applyBorder="1" applyAlignment="1">
      <alignment horizontal="right"/>
    </xf>
    <xf numFmtId="0" fontId="167" fillId="0" borderId="0" xfId="0" applyFont="1"/>
    <xf numFmtId="14" fontId="168" fillId="0" borderId="0" xfId="0" applyNumberFormat="1" applyFont="1"/>
    <xf numFmtId="0" fontId="0" fillId="0" borderId="29" xfId="0" applyBorder="1" applyAlignment="1">
      <alignment horizontal="right"/>
    </xf>
    <xf numFmtId="0" fontId="169" fillId="0" borderId="30" xfId="0" applyFont="1" applyBorder="1"/>
    <xf numFmtId="0" fontId="3" fillId="0" borderId="1" xfId="0" applyFont="1" applyFill="1" applyBorder="1" applyAlignment="1">
      <alignment horizontal="center"/>
    </xf>
    <xf numFmtId="0" fontId="133" fillId="0" borderId="1" xfId="0" applyFont="1" applyFill="1" applyBorder="1" applyAlignment="1">
      <alignment horizontal="center"/>
    </xf>
    <xf numFmtId="0" fontId="13" fillId="0" borderId="0" xfId="0" applyFont="1" applyAlignment="1">
      <alignment vertical="center"/>
    </xf>
    <xf numFmtId="16" fontId="13" fillId="0" borderId="0" xfId="0" applyNumberFormat="1" applyFont="1" applyBorder="1" applyAlignment="1">
      <alignment horizontal="right" vertical="center"/>
    </xf>
    <xf numFmtId="0" fontId="0" fillId="0" borderId="0" xfId="0" applyBorder="1" applyAlignment="1">
      <alignment horizontal="left" vertical="center"/>
    </xf>
    <xf numFmtId="166" fontId="0" fillId="0" borderId="0" xfId="5" applyFont="1" applyAlignment="1">
      <alignment vertical="center"/>
    </xf>
    <xf numFmtId="0" fontId="4" fillId="0" borderId="0" xfId="0" applyFont="1" applyBorder="1" applyAlignment="1">
      <alignment horizontal="left" vertical="center"/>
    </xf>
    <xf numFmtId="16" fontId="13" fillId="0" borderId="0" xfId="0" applyNumberFormat="1" applyFont="1" applyBorder="1" applyAlignment="1">
      <alignment horizontal="left"/>
    </xf>
    <xf numFmtId="0" fontId="4" fillId="0" borderId="0" xfId="0" applyFont="1" applyAlignment="1">
      <alignment horizontal="center"/>
    </xf>
    <xf numFmtId="0" fontId="12" fillId="0" borderId="1" xfId="0" applyFont="1" applyFill="1" applyBorder="1" applyAlignment="1">
      <alignment horizontal="center" vertical="center"/>
    </xf>
    <xf numFmtId="0" fontId="12" fillId="0" borderId="19" xfId="0" applyFont="1" applyFill="1" applyBorder="1" applyAlignment="1">
      <alignment horizontal="center" vertical="center"/>
    </xf>
    <xf numFmtId="0" fontId="12" fillId="0" borderId="5" xfId="0" applyFont="1" applyFill="1" applyBorder="1" applyAlignment="1">
      <alignment horizontal="center" vertical="center"/>
    </xf>
    <xf numFmtId="0" fontId="170" fillId="0" borderId="0" xfId="0" applyFont="1" applyFill="1" applyBorder="1" applyAlignment="1">
      <alignment horizontal="center"/>
    </xf>
    <xf numFmtId="0" fontId="171" fillId="0" borderId="0" xfId="0" applyFont="1"/>
    <xf numFmtId="0" fontId="172" fillId="0" borderId="0" xfId="0" applyFont="1"/>
    <xf numFmtId="0" fontId="172" fillId="0" borderId="0" xfId="0" applyFont="1" applyFill="1" applyBorder="1" applyAlignment="1">
      <alignment horizontal="center"/>
    </xf>
    <xf numFmtId="0" fontId="13" fillId="0" borderId="0" xfId="0" applyFont="1" applyFill="1" applyBorder="1" applyAlignment="1">
      <alignment horizontal="center"/>
    </xf>
    <xf numFmtId="49" fontId="13" fillId="0" borderId="0" xfId="0" applyNumberFormat="1" applyFont="1" applyFill="1"/>
    <xf numFmtId="0" fontId="13" fillId="0" borderId="1" xfId="0" applyFont="1" applyFill="1" applyBorder="1" applyAlignment="1">
      <alignment horizontal="center"/>
    </xf>
    <xf numFmtId="0" fontId="173" fillId="0" borderId="1" xfId="0" applyFont="1" applyFill="1" applyBorder="1" applyAlignment="1">
      <alignment horizontal="center"/>
    </xf>
    <xf numFmtId="0" fontId="18" fillId="0" borderId="1" xfId="0" applyFont="1" applyFill="1" applyBorder="1" applyAlignment="1">
      <alignment horizontal="center"/>
    </xf>
    <xf numFmtId="0" fontId="174" fillId="0" borderId="1" xfId="0" applyFont="1" applyFill="1" applyBorder="1" applyAlignment="1">
      <alignment horizontal="center"/>
    </xf>
    <xf numFmtId="0" fontId="100" fillId="0" borderId="1" xfId="0" applyFont="1" applyFill="1" applyBorder="1" applyAlignment="1">
      <alignment horizontal="center"/>
    </xf>
    <xf numFmtId="0" fontId="13" fillId="0" borderId="54" xfId="0" applyFont="1" applyFill="1" applyBorder="1" applyAlignment="1">
      <alignment horizontal="center"/>
    </xf>
    <xf numFmtId="49" fontId="13" fillId="0" borderId="54" xfId="0" applyNumberFormat="1" applyFont="1" applyFill="1" applyBorder="1"/>
    <xf numFmtId="0" fontId="13" fillId="0" borderId="22" xfId="0" applyFont="1" applyFill="1" applyBorder="1"/>
    <xf numFmtId="167" fontId="175" fillId="0" borderId="1" xfId="0" applyNumberFormat="1" applyFont="1" applyFill="1" applyBorder="1" applyAlignment="1">
      <alignment horizontal="center"/>
    </xf>
    <xf numFmtId="0" fontId="172" fillId="0" borderId="1" xfId="0" applyFont="1" applyFill="1" applyBorder="1" applyAlignment="1">
      <alignment horizontal="center"/>
    </xf>
    <xf numFmtId="0" fontId="13" fillId="0" borderId="54" xfId="0" applyFont="1" applyFill="1" applyBorder="1"/>
    <xf numFmtId="14" fontId="13" fillId="0" borderId="29" xfId="0" applyNumberFormat="1" applyFont="1" applyFill="1" applyBorder="1"/>
    <xf numFmtId="15" fontId="13" fillId="0" borderId="29" xfId="0" applyNumberFormat="1" applyFont="1" applyFill="1" applyBorder="1"/>
    <xf numFmtId="14" fontId="13" fillId="0" borderId="54" xfId="0" applyNumberFormat="1" applyFont="1" applyFill="1" applyBorder="1"/>
    <xf numFmtId="15" fontId="13" fillId="0" borderId="54" xfId="0" applyNumberFormat="1" applyFont="1" applyFill="1" applyBorder="1"/>
    <xf numFmtId="0" fontId="173" fillId="0" borderId="32" xfId="0" applyFont="1" applyFill="1" applyBorder="1" applyAlignment="1">
      <alignment horizontal="center"/>
    </xf>
    <xf numFmtId="167" fontId="175" fillId="0" borderId="32" xfId="0" applyNumberFormat="1" applyFont="1" applyFill="1" applyBorder="1" applyAlignment="1">
      <alignment horizontal="center"/>
    </xf>
    <xf numFmtId="0" fontId="172" fillId="0" borderId="32" xfId="0" applyFont="1" applyFill="1" applyBorder="1" applyAlignment="1">
      <alignment horizontal="center"/>
    </xf>
    <xf numFmtId="0" fontId="18" fillId="0" borderId="32" xfId="0" applyFont="1" applyFill="1" applyBorder="1" applyAlignment="1">
      <alignment horizontal="center"/>
    </xf>
    <xf numFmtId="0" fontId="173" fillId="0" borderId="19" xfId="0" applyFont="1" applyFill="1" applyBorder="1" applyAlignment="1">
      <alignment horizontal="center"/>
    </xf>
    <xf numFmtId="167" fontId="175" fillId="0" borderId="19" xfId="0" applyNumberFormat="1" applyFont="1" applyFill="1" applyBorder="1" applyAlignment="1">
      <alignment horizontal="center"/>
    </xf>
    <xf numFmtId="0" fontId="172" fillId="0" borderId="19" xfId="0" applyFont="1" applyFill="1" applyBorder="1" applyAlignment="1">
      <alignment horizontal="center"/>
    </xf>
    <xf numFmtId="0" fontId="18" fillId="0" borderId="19" xfId="0" applyFont="1" applyFill="1" applyBorder="1" applyAlignment="1">
      <alignment horizontal="center"/>
    </xf>
    <xf numFmtId="167" fontId="176" fillId="0" borderId="1" xfId="0" applyNumberFormat="1" applyFont="1" applyFill="1" applyBorder="1" applyAlignment="1">
      <alignment horizontal="center"/>
    </xf>
    <xf numFmtId="167" fontId="176" fillId="0" borderId="32" xfId="0" applyNumberFormat="1" applyFont="1" applyFill="1" applyBorder="1" applyAlignment="1">
      <alignment horizontal="center"/>
    </xf>
    <xf numFmtId="49" fontId="13" fillId="0" borderId="0" xfId="0" applyNumberFormat="1" applyFont="1" applyFill="1" applyBorder="1"/>
    <xf numFmtId="0" fontId="13" fillId="0" borderId="0" xfId="0" applyFont="1" applyFill="1" applyBorder="1"/>
    <xf numFmtId="14" fontId="13" fillId="0" borderId="0" xfId="0" applyNumberFormat="1" applyFont="1" applyFill="1" applyBorder="1"/>
    <xf numFmtId="15" fontId="13" fillId="0" borderId="0" xfId="0" applyNumberFormat="1" applyFont="1" applyFill="1" applyBorder="1"/>
    <xf numFmtId="14" fontId="177" fillId="0" borderId="0" xfId="0" applyNumberFormat="1" applyFont="1" applyFill="1" applyBorder="1" applyAlignment="1">
      <alignment horizontal="center" vertical="center"/>
    </xf>
    <xf numFmtId="0" fontId="178" fillId="0" borderId="1" xfId="0" applyFont="1" applyFill="1" applyBorder="1" applyAlignment="1">
      <alignment horizontal="center"/>
    </xf>
    <xf numFmtId="0" fontId="178" fillId="0" borderId="19" xfId="0" applyFont="1" applyFill="1" applyBorder="1" applyAlignment="1">
      <alignment horizontal="center"/>
    </xf>
    <xf numFmtId="0" fontId="180" fillId="0" borderId="0" xfId="0" applyFont="1" applyFill="1"/>
    <xf numFmtId="0" fontId="179" fillId="0" borderId="0" xfId="0" applyFont="1" applyFill="1"/>
    <xf numFmtId="0" fontId="13" fillId="0" borderId="0" xfId="0" applyFont="1" applyFill="1" applyAlignment="1">
      <alignment horizontal="center"/>
    </xf>
    <xf numFmtId="14" fontId="23" fillId="0" borderId="1" xfId="0" applyNumberFormat="1" applyFont="1" applyFill="1" applyBorder="1" applyAlignment="1">
      <alignment horizontal="center" vertical="center"/>
    </xf>
    <xf numFmtId="0" fontId="184" fillId="3" borderId="2" xfId="0" applyFont="1" applyFill="1" applyBorder="1" applyAlignment="1">
      <alignment horizontal="center" vertical="center"/>
    </xf>
    <xf numFmtId="0" fontId="22" fillId="4" borderId="20" xfId="0" applyFont="1" applyFill="1" applyBorder="1" applyAlignment="1">
      <alignment horizontal="center" vertical="center"/>
    </xf>
    <xf numFmtId="0" fontId="22" fillId="4" borderId="9" xfId="0" applyFont="1" applyFill="1" applyBorder="1" applyAlignment="1">
      <alignment horizontal="center" vertical="center"/>
    </xf>
    <xf numFmtId="0" fontId="69" fillId="4" borderId="9" xfId="0" applyFont="1" applyFill="1" applyBorder="1" applyAlignment="1">
      <alignment horizontal="center" vertical="center"/>
    </xf>
    <xf numFmtId="0" fontId="51" fillId="4" borderId="9" xfId="0" applyFont="1" applyFill="1" applyBorder="1" applyAlignment="1">
      <alignment horizontal="center" vertical="center"/>
    </xf>
    <xf numFmtId="0" fontId="149" fillId="4" borderId="9" xfId="0" applyFont="1" applyFill="1" applyBorder="1" applyAlignment="1">
      <alignment horizontal="center" vertical="center"/>
    </xf>
    <xf numFmtId="0" fontId="13" fillId="5" borderId="0" xfId="0" applyFont="1" applyFill="1"/>
    <xf numFmtId="0" fontId="26" fillId="5" borderId="0" xfId="0" applyFont="1" applyFill="1"/>
    <xf numFmtId="0" fontId="13" fillId="5" borderId="47" xfId="0" applyFont="1" applyFill="1" applyBorder="1"/>
    <xf numFmtId="0" fontId="13" fillId="5" borderId="30" xfId="0" applyFont="1" applyFill="1" applyBorder="1" applyAlignment="1">
      <alignment horizontal="center"/>
    </xf>
    <xf numFmtId="0" fontId="13" fillId="5" borderId="54" xfId="0" applyFont="1" applyFill="1" applyBorder="1" applyAlignment="1">
      <alignment horizontal="center"/>
    </xf>
    <xf numFmtId="0" fontId="13" fillId="5" borderId="22" xfId="0" applyFont="1" applyFill="1" applyBorder="1" applyAlignment="1">
      <alignment horizontal="center"/>
    </xf>
    <xf numFmtId="0" fontId="13" fillId="5" borderId="35" xfId="0" applyFont="1" applyFill="1" applyBorder="1" applyAlignment="1">
      <alignment horizontal="center"/>
    </xf>
    <xf numFmtId="0" fontId="26" fillId="5" borderId="36" xfId="0" applyFont="1" applyFill="1" applyBorder="1"/>
    <xf numFmtId="0" fontId="13" fillId="5" borderId="36" xfId="0" applyFont="1" applyFill="1" applyBorder="1"/>
    <xf numFmtId="0" fontId="13" fillId="5" borderId="36" xfId="0" applyFont="1" applyFill="1" applyBorder="1" applyAlignment="1">
      <alignment horizontal="center"/>
    </xf>
    <xf numFmtId="0" fontId="26" fillId="5" borderId="0" xfId="0" applyFont="1" applyFill="1" applyBorder="1"/>
    <xf numFmtId="0" fontId="13" fillId="5" borderId="0" xfId="0" applyFont="1" applyFill="1" applyBorder="1"/>
    <xf numFmtId="166" fontId="4" fillId="0" borderId="0" xfId="5" applyFont="1" applyFill="1" applyBorder="1" applyAlignment="1">
      <alignment horizontal="center" vertical="center"/>
    </xf>
    <xf numFmtId="0" fontId="186" fillId="0" borderId="0" xfId="0" applyFont="1" applyBorder="1" applyAlignment="1">
      <alignment horizontal="left"/>
    </xf>
    <xf numFmtId="0" fontId="5" fillId="0" borderId="0" xfId="0" applyFont="1" applyFill="1" applyBorder="1" applyAlignment="1">
      <alignment horizontal="center" vertical="center"/>
    </xf>
    <xf numFmtId="0" fontId="3" fillId="0" borderId="0" xfId="0" applyFont="1" applyFill="1" applyBorder="1" applyAlignment="1">
      <alignment horizontal="center" vertical="center"/>
    </xf>
    <xf numFmtId="14" fontId="4" fillId="0" borderId="0" xfId="5" applyNumberFormat="1" applyFont="1" applyFill="1" applyBorder="1" applyAlignment="1">
      <alignment horizontal="left" vertical="center"/>
    </xf>
    <xf numFmtId="0" fontId="4" fillId="0" borderId="1" xfId="0" applyFont="1" applyBorder="1" applyAlignment="1">
      <alignment horizontal="center"/>
    </xf>
    <xf numFmtId="0" fontId="0" fillId="0" borderId="86" xfId="0" applyBorder="1" applyAlignment="1">
      <alignment horizontal="left" indent="1"/>
    </xf>
    <xf numFmtId="0" fontId="52" fillId="0" borderId="1" xfId="0" applyFont="1" applyBorder="1" applyAlignment="1">
      <alignment horizontal="center"/>
    </xf>
    <xf numFmtId="0" fontId="188" fillId="0" borderId="1" xfId="0" applyFont="1" applyBorder="1" applyAlignment="1">
      <alignment horizontal="center"/>
    </xf>
    <xf numFmtId="179" fontId="4" fillId="0" borderId="1" xfId="0" applyNumberFormat="1" applyFont="1" applyBorder="1" applyAlignment="1">
      <alignment horizontal="center"/>
    </xf>
    <xf numFmtId="0" fontId="52" fillId="0" borderId="8" xfId="0" applyFont="1" applyBorder="1" applyAlignment="1">
      <alignment horizontal="center"/>
    </xf>
    <xf numFmtId="0" fontId="52" fillId="0" borderId="9" xfId="0" applyFont="1" applyBorder="1" applyAlignment="1">
      <alignment horizontal="center"/>
    </xf>
    <xf numFmtId="0" fontId="187" fillId="0" borderId="8" xfId="0" applyFont="1" applyBorder="1" applyAlignment="1">
      <alignment horizontal="center"/>
    </xf>
    <xf numFmtId="179" fontId="4" fillId="0" borderId="9" xfId="0" applyNumberFormat="1" applyFont="1" applyBorder="1" applyAlignment="1">
      <alignment horizontal="center"/>
    </xf>
    <xf numFmtId="0" fontId="187" fillId="0" borderId="4" xfId="0" applyFont="1" applyBorder="1" applyAlignment="1">
      <alignment horizontal="center"/>
    </xf>
    <xf numFmtId="0" fontId="188" fillId="0" borderId="5" xfId="0" applyFont="1" applyBorder="1" applyAlignment="1">
      <alignment horizontal="center"/>
    </xf>
    <xf numFmtId="0" fontId="4" fillId="0" borderId="5" xfId="0" applyFont="1" applyBorder="1" applyAlignment="1">
      <alignment horizontal="center"/>
    </xf>
    <xf numFmtId="179" fontId="4" fillId="0" borderId="5" xfId="0" applyNumberFormat="1" applyFont="1" applyBorder="1" applyAlignment="1">
      <alignment horizontal="center"/>
    </xf>
    <xf numFmtId="179" fontId="4" fillId="0" borderId="6" xfId="0" applyNumberFormat="1" applyFont="1" applyBorder="1" applyAlignment="1">
      <alignment horizontal="center"/>
    </xf>
    <xf numFmtId="0" fontId="52" fillId="0" borderId="54" xfId="0" applyFont="1" applyBorder="1" applyAlignment="1">
      <alignment horizontal="center"/>
    </xf>
    <xf numFmtId="179" fontId="4" fillId="0" borderId="54" xfId="0" applyNumberFormat="1" applyFont="1" applyBorder="1" applyAlignment="1">
      <alignment horizontal="center"/>
    </xf>
    <xf numFmtId="179" fontId="4" fillId="0" borderId="87" xfId="0" applyNumberFormat="1" applyFont="1" applyBorder="1" applyAlignment="1">
      <alignment horizontal="center"/>
    </xf>
    <xf numFmtId="0" fontId="13" fillId="5" borderId="47" xfId="0" applyFont="1" applyFill="1" applyBorder="1" applyAlignment="1">
      <alignment horizontal="center"/>
    </xf>
    <xf numFmtId="0" fontId="27" fillId="5" borderId="0" xfId="0" applyFont="1" applyFill="1" applyBorder="1" applyAlignment="1">
      <alignment horizontal="center"/>
    </xf>
    <xf numFmtId="0" fontId="27" fillId="5" borderId="11" xfId="0" applyFont="1" applyFill="1" applyBorder="1" applyAlignment="1">
      <alignment horizontal="center"/>
    </xf>
    <xf numFmtId="0" fontId="27" fillId="5" borderId="27" xfId="0" applyFont="1" applyFill="1" applyBorder="1" applyAlignment="1">
      <alignment horizontal="center"/>
    </xf>
    <xf numFmtId="0" fontId="189" fillId="0" borderId="1" xfId="0" applyFont="1" applyFill="1" applyBorder="1" applyAlignment="1">
      <alignment horizontal="center"/>
    </xf>
    <xf numFmtId="0" fontId="93" fillId="0" borderId="1" xfId="0" applyFont="1" applyFill="1" applyBorder="1" applyAlignment="1">
      <alignment horizontal="center"/>
    </xf>
    <xf numFmtId="166" fontId="13" fillId="0" borderId="0" xfId="5" applyFont="1" applyBorder="1" applyAlignment="1">
      <alignment horizontal="center"/>
    </xf>
    <xf numFmtId="166" fontId="128" fillId="0" borderId="0" xfId="5" applyFont="1"/>
    <xf numFmtId="0" fontId="191" fillId="0" borderId="0" xfId="0" applyFont="1" applyAlignment="1">
      <alignment horizontal="center"/>
    </xf>
    <xf numFmtId="0" fontId="115" fillId="0" borderId="0" xfId="0" applyFont="1"/>
    <xf numFmtId="0" fontId="192" fillId="0" borderId="0" xfId="0" applyFont="1"/>
    <xf numFmtId="0" fontId="194" fillId="0" borderId="1" xfId="0" applyFont="1" applyBorder="1" applyAlignment="1">
      <alignment horizontal="right" vertical="center"/>
    </xf>
    <xf numFmtId="166" fontId="161" fillId="0" borderId="1" xfId="0" applyNumberFormat="1" applyFont="1" applyBorder="1"/>
    <xf numFmtId="166" fontId="193" fillId="0" borderId="1" xfId="5" applyFont="1" applyBorder="1"/>
    <xf numFmtId="0" fontId="109" fillId="0" borderId="0" xfId="0" applyFont="1" applyAlignment="1"/>
    <xf numFmtId="0" fontId="112" fillId="0" borderId="0" xfId="0" applyFont="1" applyAlignment="1"/>
    <xf numFmtId="0" fontId="109" fillId="0" borderId="0" xfId="0" applyFont="1" applyAlignment="1">
      <alignment horizontal="center" vertical="top"/>
    </xf>
    <xf numFmtId="0" fontId="112" fillId="0" borderId="0" xfId="0" applyFont="1" applyAlignment="1">
      <alignment horizontal="center"/>
    </xf>
    <xf numFmtId="0" fontId="112" fillId="0" borderId="0" xfId="0" applyFont="1" applyAlignment="1">
      <alignment horizontal="right"/>
    </xf>
    <xf numFmtId="0" fontId="110" fillId="0" borderId="0" xfId="0" applyFont="1" applyAlignment="1">
      <alignment horizontal="left" vertical="top"/>
    </xf>
    <xf numFmtId="0" fontId="110" fillId="0" borderId="0" xfId="0" applyFont="1" applyAlignment="1">
      <alignment horizontal="center"/>
    </xf>
    <xf numFmtId="0" fontId="109" fillId="0" borderId="0" xfId="0" applyFont="1" applyAlignment="1">
      <alignment horizontal="center"/>
    </xf>
    <xf numFmtId="0" fontId="26" fillId="0" borderId="0" xfId="0" applyFont="1" applyAlignment="1">
      <alignment horizontal="center"/>
    </xf>
    <xf numFmtId="0" fontId="27" fillId="0" borderId="0" xfId="0" applyFont="1" applyAlignment="1">
      <alignment horizontal="center"/>
    </xf>
    <xf numFmtId="0" fontId="12" fillId="0" borderId="0" xfId="0" applyFont="1" applyAlignment="1">
      <alignment horizontal="center"/>
    </xf>
    <xf numFmtId="0" fontId="27" fillId="0" borderId="29" xfId="0" applyFont="1" applyBorder="1" applyAlignment="1">
      <alignment horizontal="center"/>
    </xf>
    <xf numFmtId="0" fontId="112" fillId="0" borderId="29" xfId="0" applyFont="1" applyBorder="1" applyAlignment="1">
      <alignment horizontal="center"/>
    </xf>
    <xf numFmtId="0" fontId="112" fillId="0" borderId="29" xfId="0" applyFont="1" applyBorder="1" applyAlignment="1">
      <alignment horizontal="right"/>
    </xf>
    <xf numFmtId="0" fontId="195" fillId="0" borderId="0" xfId="0" applyFont="1" applyAlignment="1">
      <alignment horizontal="center"/>
    </xf>
    <xf numFmtId="0" fontId="195" fillId="0" borderId="0" xfId="0" applyFont="1" applyAlignment="1">
      <alignment horizontal="right"/>
    </xf>
    <xf numFmtId="0" fontId="196" fillId="0" borderId="29" xfId="0" applyFont="1" applyBorder="1" applyAlignment="1">
      <alignment horizontal="center"/>
    </xf>
    <xf numFmtId="0" fontId="197" fillId="2" borderId="0" xfId="0" applyFont="1" applyFill="1" applyBorder="1" applyAlignment="1">
      <alignment vertical="center"/>
    </xf>
    <xf numFmtId="0" fontId="112" fillId="0" borderId="88" xfId="0" applyFont="1" applyBorder="1" applyAlignment="1">
      <alignment horizontal="center"/>
    </xf>
    <xf numFmtId="0" fontId="112" fillId="0" borderId="88" xfId="0" applyFont="1" applyBorder="1" applyAlignment="1">
      <alignment horizontal="right"/>
    </xf>
    <xf numFmtId="0" fontId="112" fillId="0" borderId="89" xfId="0" applyFont="1" applyBorder="1" applyAlignment="1">
      <alignment horizontal="right"/>
    </xf>
    <xf numFmtId="0" fontId="27" fillId="0" borderId="88" xfId="0" applyFont="1" applyBorder="1" applyAlignment="1">
      <alignment horizontal="center"/>
    </xf>
    <xf numFmtId="0" fontId="24" fillId="2" borderId="0" xfId="0" applyFont="1" applyFill="1" applyAlignment="1">
      <alignment horizontal="center"/>
    </xf>
    <xf numFmtId="0" fontId="198" fillId="2" borderId="0" xfId="0" applyFont="1" applyFill="1" applyAlignment="1">
      <alignment horizontal="center"/>
    </xf>
    <xf numFmtId="0" fontId="198" fillId="2" borderId="0" xfId="0" applyFont="1" applyFill="1" applyAlignment="1">
      <alignment horizontal="right"/>
    </xf>
    <xf numFmtId="0" fontId="109" fillId="0" borderId="0" xfId="0" applyFont="1" applyAlignment="1">
      <alignment horizontal="left"/>
    </xf>
    <xf numFmtId="0" fontId="203" fillId="5" borderId="0" xfId="0" applyFont="1" applyFill="1" applyAlignment="1"/>
    <xf numFmtId="0" fontId="204" fillId="5" borderId="0" xfId="0" applyFont="1" applyFill="1" applyAlignment="1"/>
    <xf numFmtId="0" fontId="203" fillId="6" borderId="0" xfId="0" applyFont="1" applyFill="1" applyAlignment="1"/>
    <xf numFmtId="0" fontId="204" fillId="6" borderId="0" xfId="0" applyFont="1" applyFill="1" applyAlignment="1"/>
    <xf numFmtId="14" fontId="0" fillId="0" borderId="0" xfId="0" applyNumberFormat="1" applyBorder="1" applyAlignment="1">
      <alignment horizontal="center"/>
    </xf>
    <xf numFmtId="2" fontId="0" fillId="0" borderId="0" xfId="0" applyNumberFormat="1" applyAlignment="1">
      <alignment horizontal="center"/>
    </xf>
    <xf numFmtId="2" fontId="26" fillId="0" borderId="0" xfId="0" applyNumberFormat="1" applyFont="1" applyAlignment="1">
      <alignment horizontal="center"/>
    </xf>
    <xf numFmtId="2" fontId="27" fillId="0" borderId="0" xfId="0" applyNumberFormat="1" applyFont="1" applyAlignment="1">
      <alignment horizontal="center"/>
    </xf>
    <xf numFmtId="0" fontId="134" fillId="2" borderId="9" xfId="0" applyFont="1" applyFill="1" applyBorder="1" applyAlignment="1">
      <alignment horizontal="center" vertical="center"/>
    </xf>
    <xf numFmtId="0" fontId="5" fillId="0" borderId="9" xfId="0" applyFont="1" applyBorder="1" applyAlignment="1">
      <alignment horizontal="center" vertical="center"/>
    </xf>
    <xf numFmtId="0" fontId="5" fillId="0" borderId="73" xfId="0" applyFont="1" applyBorder="1" applyAlignment="1">
      <alignment horizontal="center" vertical="center"/>
    </xf>
    <xf numFmtId="0" fontId="28" fillId="0" borderId="9" xfId="0" applyFont="1" applyBorder="1" applyAlignment="1">
      <alignment horizontal="center" vertical="center"/>
    </xf>
    <xf numFmtId="0" fontId="14" fillId="0" borderId="22" xfId="0" applyFont="1" applyBorder="1" applyAlignment="1">
      <alignment vertical="center"/>
    </xf>
    <xf numFmtId="16" fontId="179" fillId="0" borderId="1" xfId="0" applyNumberFormat="1" applyFont="1" applyBorder="1" applyAlignment="1">
      <alignment horizontal="center" vertical="center"/>
    </xf>
    <xf numFmtId="0" fontId="0" fillId="0" borderId="22" xfId="0" applyBorder="1" applyAlignment="1">
      <alignment horizontal="center"/>
    </xf>
    <xf numFmtId="0" fontId="26" fillId="0" borderId="0" xfId="0" applyFont="1" applyAlignment="1">
      <alignment vertical="center"/>
    </xf>
    <xf numFmtId="0" fontId="7" fillId="0" borderId="0" xfId="0" applyFont="1" applyAlignment="1">
      <alignment vertical="center"/>
    </xf>
    <xf numFmtId="0" fontId="27" fillId="0" borderId="0" xfId="0" applyFont="1" applyAlignment="1">
      <alignment vertical="center"/>
    </xf>
    <xf numFmtId="2" fontId="128" fillId="0" borderId="0" xfId="0" applyNumberFormat="1" applyFont="1" applyAlignment="1">
      <alignment horizontal="center" vertical="center"/>
    </xf>
    <xf numFmtId="2" fontId="0" fillId="0" borderId="19" xfId="0" applyNumberFormat="1" applyBorder="1" applyAlignment="1">
      <alignment horizontal="center"/>
    </xf>
    <xf numFmtId="0" fontId="14" fillId="0" borderId="30" xfId="0" applyFont="1" applyBorder="1" applyAlignment="1">
      <alignment horizontal="left" indent="3"/>
    </xf>
    <xf numFmtId="0" fontId="11" fillId="0" borderId="54" xfId="0" applyFont="1" applyBorder="1"/>
    <xf numFmtId="0" fontId="10" fillId="0" borderId="0" xfId="0" applyFont="1"/>
    <xf numFmtId="0" fontId="7" fillId="0" borderId="0" xfId="0" applyFont="1" applyAlignment="1">
      <alignment horizontal="left"/>
    </xf>
    <xf numFmtId="0" fontId="7" fillId="0" borderId="29" xfId="0" applyFont="1" applyBorder="1" applyAlignment="1">
      <alignment horizontal="center" vertical="center"/>
    </xf>
    <xf numFmtId="0" fontId="7" fillId="0" borderId="29" xfId="0" applyFont="1" applyBorder="1" applyAlignment="1">
      <alignment vertical="center"/>
    </xf>
    <xf numFmtId="166" fontId="0" fillId="0" borderId="37" xfId="5" applyFont="1" applyBorder="1"/>
    <xf numFmtId="0" fontId="8" fillId="0" borderId="28" xfId="0" applyFont="1" applyBorder="1"/>
    <xf numFmtId="0" fontId="8" fillId="0" borderId="29" xfId="0" applyFont="1" applyBorder="1"/>
    <xf numFmtId="166" fontId="8" fillId="0" borderId="18" xfId="5" applyFont="1" applyBorder="1"/>
    <xf numFmtId="0" fontId="180" fillId="0" borderId="36" xfId="0" applyFont="1" applyBorder="1"/>
    <xf numFmtId="0" fontId="5" fillId="0" borderId="1" xfId="0" applyFont="1" applyBorder="1" applyAlignment="1">
      <alignment vertical="center"/>
    </xf>
    <xf numFmtId="20" fontId="17" fillId="0" borderId="1" xfId="0" applyNumberFormat="1" applyFont="1" applyBorder="1" applyAlignment="1">
      <alignment horizontal="center" vertical="center"/>
    </xf>
    <xf numFmtId="0" fontId="22" fillId="0" borderId="1" xfId="0" applyFont="1" applyBorder="1" applyAlignment="1">
      <alignment vertical="center"/>
    </xf>
    <xf numFmtId="49" fontId="17" fillId="0" borderId="1" xfId="0" applyNumberFormat="1" applyFont="1" applyBorder="1" applyAlignment="1">
      <alignment horizontal="center" vertical="center"/>
    </xf>
    <xf numFmtId="0" fontId="204" fillId="0" borderId="88" xfId="0" applyFont="1" applyBorder="1" applyAlignment="1">
      <alignment horizontal="center"/>
    </xf>
    <xf numFmtId="0" fontId="203" fillId="0" borderId="88" xfId="0" applyFont="1" applyBorder="1" applyAlignment="1">
      <alignment horizontal="center"/>
    </xf>
    <xf numFmtId="0" fontId="203" fillId="0" borderId="88" xfId="0" applyFont="1" applyBorder="1" applyAlignment="1">
      <alignment horizontal="right"/>
    </xf>
    <xf numFmtId="0" fontId="112" fillId="0" borderId="1" xfId="0" applyFont="1" applyBorder="1" applyAlignment="1">
      <alignment horizontal="center"/>
    </xf>
    <xf numFmtId="0" fontId="112" fillId="0" borderId="1" xfId="0" applyFont="1" applyBorder="1" applyAlignment="1">
      <alignment horizontal="right"/>
    </xf>
    <xf numFmtId="0" fontId="12" fillId="0" borderId="47" xfId="0" applyFont="1" applyBorder="1" applyAlignment="1">
      <alignment horizontal="center"/>
    </xf>
    <xf numFmtId="0" fontId="109" fillId="0" borderId="47" xfId="0" applyFont="1" applyBorder="1" applyAlignment="1">
      <alignment horizontal="center"/>
    </xf>
    <xf numFmtId="0" fontId="110" fillId="0" borderId="47" xfId="0" applyFont="1" applyBorder="1" applyAlignment="1">
      <alignment horizontal="center"/>
    </xf>
    <xf numFmtId="0" fontId="112" fillId="0" borderId="3" xfId="0" applyFont="1" applyBorder="1" applyAlignment="1">
      <alignment horizontal="center"/>
    </xf>
    <xf numFmtId="0" fontId="112" fillId="0" borderId="3" xfId="0" applyFont="1" applyBorder="1" applyAlignment="1">
      <alignment horizontal="right"/>
    </xf>
    <xf numFmtId="0" fontId="112" fillId="0" borderId="7" xfId="0" applyFont="1" applyBorder="1" applyAlignment="1">
      <alignment horizontal="right"/>
    </xf>
    <xf numFmtId="0" fontId="112" fillId="0" borderId="9" xfId="0" applyFont="1" applyBorder="1" applyAlignment="1">
      <alignment horizontal="right"/>
    </xf>
    <xf numFmtId="0" fontId="112" fillId="0" borderId="5" xfId="0" applyFont="1" applyBorder="1" applyAlignment="1">
      <alignment horizontal="center"/>
    </xf>
    <xf numFmtId="0" fontId="112" fillId="0" borderId="5" xfId="0" applyFont="1" applyBorder="1" applyAlignment="1">
      <alignment horizontal="right"/>
    </xf>
    <xf numFmtId="0" fontId="112" fillId="0" borderId="6" xfId="0" applyFont="1" applyBorder="1" applyAlignment="1">
      <alignment horizontal="right"/>
    </xf>
    <xf numFmtId="0" fontId="0" fillId="0" borderId="83" xfId="0" applyBorder="1" applyAlignment="1">
      <alignment horizontal="center"/>
    </xf>
    <xf numFmtId="0" fontId="112" fillId="0" borderId="84" xfId="0" applyFont="1" applyBorder="1" applyAlignment="1">
      <alignment horizontal="center"/>
    </xf>
    <xf numFmtId="0" fontId="112" fillId="0" borderId="84" xfId="0" applyFont="1" applyBorder="1" applyAlignment="1">
      <alignment horizontal="right"/>
    </xf>
    <xf numFmtId="0" fontId="112" fillId="0" borderId="25" xfId="0" applyFont="1" applyBorder="1" applyAlignment="1">
      <alignment horizontal="right"/>
    </xf>
    <xf numFmtId="0" fontId="208" fillId="0" borderId="90" xfId="0" applyFont="1" applyBorder="1" applyAlignment="1">
      <alignment horizontal="center"/>
    </xf>
    <xf numFmtId="0" fontId="195" fillId="0" borderId="5" xfId="0" applyFont="1" applyBorder="1" applyAlignment="1">
      <alignment horizontal="center"/>
    </xf>
    <xf numFmtId="0" fontId="209" fillId="0" borderId="91" xfId="0" applyFont="1" applyBorder="1" applyAlignment="1">
      <alignment horizontal="center"/>
    </xf>
    <xf numFmtId="0" fontId="209" fillId="0" borderId="91" xfId="0" applyFont="1" applyBorder="1" applyAlignment="1">
      <alignment horizontal="right"/>
    </xf>
    <xf numFmtId="0" fontId="209" fillId="0" borderId="92" xfId="0" applyFont="1" applyBorder="1" applyAlignment="1">
      <alignment horizontal="right"/>
    </xf>
    <xf numFmtId="0" fontId="210" fillId="0" borderId="8" xfId="0" applyFont="1" applyBorder="1" applyAlignment="1">
      <alignment horizontal="center"/>
    </xf>
    <xf numFmtId="0" fontId="195" fillId="0" borderId="1" xfId="0" applyFont="1" applyBorder="1" applyAlignment="1">
      <alignment horizontal="center"/>
    </xf>
    <xf numFmtId="0" fontId="195" fillId="0" borderId="1" xfId="0" applyFont="1" applyBorder="1" applyAlignment="1">
      <alignment horizontal="right"/>
    </xf>
    <xf numFmtId="0" fontId="195" fillId="0" borderId="9" xfId="0" applyFont="1" applyBorder="1" applyAlignment="1">
      <alignment horizontal="right"/>
    </xf>
    <xf numFmtId="0" fontId="210" fillId="0" borderId="80" xfId="0" applyFont="1" applyBorder="1" applyAlignment="1">
      <alignment horizontal="center"/>
    </xf>
    <xf numFmtId="0" fontId="195" fillId="0" borderId="47" xfId="0" applyFont="1" applyBorder="1" applyAlignment="1">
      <alignment horizontal="center"/>
    </xf>
    <xf numFmtId="0" fontId="195" fillId="0" borderId="47" xfId="0" applyFont="1" applyBorder="1" applyAlignment="1">
      <alignment horizontal="right"/>
    </xf>
    <xf numFmtId="0" fontId="195" fillId="0" borderId="68" xfId="0" applyFont="1" applyBorder="1" applyAlignment="1">
      <alignment horizontal="right"/>
    </xf>
    <xf numFmtId="0" fontId="210" fillId="0" borderId="2" xfId="0" applyFont="1" applyBorder="1" applyAlignment="1">
      <alignment horizontal="center"/>
    </xf>
    <xf numFmtId="0" fontId="195" fillId="0" borderId="3" xfId="0" applyFont="1" applyBorder="1" applyAlignment="1">
      <alignment horizontal="center"/>
    </xf>
    <xf numFmtId="0" fontId="195" fillId="0" borderId="3" xfId="0" applyFont="1" applyBorder="1" applyAlignment="1">
      <alignment horizontal="right"/>
    </xf>
    <xf numFmtId="0" fontId="195" fillId="0" borderId="7" xfId="0" applyFont="1" applyBorder="1" applyAlignment="1">
      <alignment horizontal="right"/>
    </xf>
    <xf numFmtId="0" fontId="211" fillId="0" borderId="3" xfId="0" applyFont="1" applyBorder="1" applyAlignment="1">
      <alignment horizontal="center"/>
    </xf>
    <xf numFmtId="0" fontId="212" fillId="0" borderId="1" xfId="0" applyFont="1" applyBorder="1" applyAlignment="1">
      <alignment horizontal="center"/>
    </xf>
    <xf numFmtId="0" fontId="211" fillId="0" borderId="1" xfId="0" applyFont="1" applyBorder="1" applyAlignment="1">
      <alignment horizontal="center"/>
    </xf>
    <xf numFmtId="0" fontId="211" fillId="0" borderId="47" xfId="0" applyFont="1" applyBorder="1" applyAlignment="1">
      <alignment horizontal="center"/>
    </xf>
    <xf numFmtId="0" fontId="213" fillId="0" borderId="91" xfId="0" applyFont="1" applyBorder="1" applyAlignment="1">
      <alignment horizontal="center"/>
    </xf>
    <xf numFmtId="0" fontId="212" fillId="0" borderId="5" xfId="0" applyFont="1" applyBorder="1" applyAlignment="1">
      <alignment horizontal="center"/>
    </xf>
    <xf numFmtId="0" fontId="212" fillId="0" borderId="3" xfId="0" applyFont="1" applyBorder="1" applyAlignment="1">
      <alignment horizontal="center"/>
    </xf>
    <xf numFmtId="0" fontId="212" fillId="0" borderId="84" xfId="0" applyFont="1" applyBorder="1" applyAlignment="1">
      <alignment horizontal="center"/>
    </xf>
    <xf numFmtId="0" fontId="0" fillId="0" borderId="70" xfId="0" applyBorder="1" applyAlignment="1">
      <alignment horizontal="center"/>
    </xf>
    <xf numFmtId="0" fontId="112" fillId="0" borderId="57" xfId="0" applyFont="1" applyBorder="1" applyAlignment="1">
      <alignment horizontal="center"/>
    </xf>
    <xf numFmtId="0" fontId="212" fillId="0" borderId="57" xfId="0" applyFont="1" applyBorder="1" applyAlignment="1">
      <alignment horizontal="center"/>
    </xf>
    <xf numFmtId="0" fontId="112" fillId="0" borderId="57" xfId="0" applyFont="1" applyBorder="1" applyAlignment="1">
      <alignment horizontal="right"/>
    </xf>
    <xf numFmtId="0" fontId="112" fillId="0" borderId="67" xfId="0" applyFont="1" applyBorder="1" applyAlignment="1">
      <alignment horizontal="right"/>
    </xf>
    <xf numFmtId="0" fontId="215" fillId="0" borderId="2" xfId="0" applyFont="1" applyFill="1" applyBorder="1" applyAlignment="1">
      <alignment horizontal="center"/>
    </xf>
    <xf numFmtId="0" fontId="215" fillId="0" borderId="3" xfId="0" applyFont="1" applyFill="1" applyBorder="1" applyAlignment="1">
      <alignment horizontal="center"/>
    </xf>
    <xf numFmtId="0" fontId="215" fillId="0" borderId="7" xfId="0" applyFont="1" applyFill="1" applyBorder="1" applyAlignment="1">
      <alignment horizontal="center"/>
    </xf>
    <xf numFmtId="0" fontId="215" fillId="0" borderId="4" xfId="0" applyFont="1" applyFill="1" applyBorder="1" applyAlignment="1">
      <alignment horizontal="center"/>
    </xf>
    <xf numFmtId="0" fontId="215" fillId="0" borderId="5" xfId="0" applyFont="1" applyFill="1" applyBorder="1" applyAlignment="1">
      <alignment horizontal="center"/>
    </xf>
    <xf numFmtId="0" fontId="215" fillId="0" borderId="6" xfId="0" applyFont="1" applyFill="1" applyBorder="1" applyAlignment="1">
      <alignment horizontal="center"/>
    </xf>
    <xf numFmtId="0" fontId="112" fillId="0" borderId="7" xfId="0" applyFont="1" applyFill="1" applyBorder="1" applyAlignment="1">
      <alignment horizontal="left"/>
    </xf>
    <xf numFmtId="182" fontId="0" fillId="0" borderId="0" xfId="0" applyNumberFormat="1" applyBorder="1"/>
    <xf numFmtId="182" fontId="0" fillId="0" borderId="35" xfId="0" applyNumberFormat="1" applyBorder="1"/>
    <xf numFmtId="0" fontId="5" fillId="0" borderId="36" xfId="0" applyFont="1" applyBorder="1"/>
    <xf numFmtId="0" fontId="11" fillId="0" borderId="36" xfId="0" applyFont="1" applyBorder="1"/>
    <xf numFmtId="182" fontId="0" fillId="0" borderId="27" xfId="0" applyNumberFormat="1" applyBorder="1"/>
    <xf numFmtId="0" fontId="155" fillId="0" borderId="28" xfId="0" applyFont="1" applyBorder="1"/>
    <xf numFmtId="0" fontId="13" fillId="0" borderId="29" xfId="0" applyFont="1" applyBorder="1"/>
    <xf numFmtId="0" fontId="155" fillId="0" borderId="29" xfId="0" applyFont="1" applyBorder="1"/>
    <xf numFmtId="182" fontId="0" fillId="0" borderId="28" xfId="0" applyNumberFormat="1" applyBorder="1"/>
    <xf numFmtId="0" fontId="11" fillId="0" borderId="29" xfId="0" applyFont="1" applyBorder="1"/>
    <xf numFmtId="14" fontId="0" fillId="0" borderId="18" xfId="0" applyNumberFormat="1" applyBorder="1"/>
    <xf numFmtId="0" fontId="193" fillId="0" borderId="0" xfId="0" applyFont="1"/>
    <xf numFmtId="0" fontId="15" fillId="2" borderId="0" xfId="4" applyFill="1" applyBorder="1" applyAlignment="1" applyProtection="1"/>
    <xf numFmtId="0" fontId="6" fillId="2" borderId="0" xfId="0" applyFont="1" applyFill="1" applyBorder="1"/>
    <xf numFmtId="0" fontId="11" fillId="2" borderId="0" xfId="0" applyFont="1" applyFill="1" applyBorder="1"/>
    <xf numFmtId="0" fontId="10" fillId="0" borderId="0" xfId="0" applyFont="1" applyFill="1" applyBorder="1" applyAlignment="1">
      <alignment horizontal="left" vertical="center"/>
    </xf>
    <xf numFmtId="0" fontId="216" fillId="0" borderId="0" xfId="0" applyFont="1" applyBorder="1"/>
    <xf numFmtId="183" fontId="17" fillId="0" borderId="1" xfId="0" applyNumberFormat="1" applyFont="1" applyBorder="1" applyAlignment="1">
      <alignment horizontal="center" vertical="center"/>
    </xf>
    <xf numFmtId="0" fontId="217" fillId="5" borderId="27" xfId="0" applyFont="1" applyFill="1" applyBorder="1" applyAlignment="1">
      <alignment horizontal="center"/>
    </xf>
    <xf numFmtId="0" fontId="217" fillId="5" borderId="0" xfId="0" applyFont="1" applyFill="1" applyBorder="1"/>
    <xf numFmtId="0" fontId="217" fillId="5" borderId="0" xfId="0" applyFont="1" applyFill="1" applyBorder="1" applyAlignment="1">
      <alignment horizontal="center"/>
    </xf>
    <xf numFmtId="0" fontId="217" fillId="5" borderId="28" xfId="0" applyFont="1" applyFill="1" applyBorder="1" applyAlignment="1">
      <alignment horizontal="center"/>
    </xf>
    <xf numFmtId="0" fontId="217" fillId="5" borderId="29" xfId="0" applyFont="1" applyFill="1" applyBorder="1"/>
    <xf numFmtId="0" fontId="217" fillId="5" borderId="29" xfId="0" applyFont="1" applyFill="1" applyBorder="1" applyAlignment="1">
      <alignment horizontal="center"/>
    </xf>
    <xf numFmtId="0" fontId="52" fillId="5" borderId="11" xfId="0" applyFont="1" applyFill="1" applyBorder="1" applyAlignment="1">
      <alignment horizontal="center"/>
    </xf>
    <xf numFmtId="0" fontId="52" fillId="5" borderId="19" xfId="0" applyFont="1" applyFill="1" applyBorder="1" applyAlignment="1">
      <alignment horizontal="center"/>
    </xf>
    <xf numFmtId="181" fontId="0" fillId="0" borderId="0" xfId="0" applyNumberFormat="1" applyBorder="1"/>
    <xf numFmtId="0" fontId="0" fillId="0" borderId="54" xfId="0" applyBorder="1" applyAlignment="1">
      <alignment horizontal="center"/>
    </xf>
    <xf numFmtId="2" fontId="0" fillId="0" borderId="0" xfId="0" applyNumberFormat="1" applyBorder="1" applyAlignment="1">
      <alignment horizontal="center"/>
    </xf>
    <xf numFmtId="0" fontId="44" fillId="7" borderId="1" xfId="0" applyFont="1" applyFill="1" applyBorder="1" applyAlignment="1">
      <alignment horizontal="center" vertical="center"/>
    </xf>
    <xf numFmtId="0" fontId="0" fillId="7" borderId="1" xfId="0" applyFill="1" applyBorder="1" applyAlignment="1">
      <alignment horizontal="center" vertical="center"/>
    </xf>
    <xf numFmtId="0" fontId="0" fillId="7" borderId="47" xfId="0" applyFill="1" applyBorder="1" applyAlignment="1">
      <alignment horizontal="center" vertical="center"/>
    </xf>
    <xf numFmtId="0" fontId="155" fillId="0" borderId="0" xfId="0" applyFont="1" applyBorder="1" applyAlignment="1">
      <alignment horizontal="left"/>
    </xf>
    <xf numFmtId="0" fontId="155" fillId="0" borderId="0" xfId="0" applyFont="1" applyAlignment="1">
      <alignment horizontal="center"/>
    </xf>
    <xf numFmtId="0" fontId="10" fillId="0" borderId="84" xfId="0" applyFont="1" applyFill="1" applyBorder="1" applyAlignment="1">
      <alignment horizontal="left"/>
    </xf>
    <xf numFmtId="0" fontId="185" fillId="3" borderId="7" xfId="0" applyFont="1" applyFill="1" applyBorder="1" applyAlignment="1">
      <alignment horizontal="center" vertical="center"/>
    </xf>
    <xf numFmtId="0" fontId="184" fillId="0" borderId="8" xfId="0" applyFont="1" applyFill="1" applyBorder="1" applyAlignment="1">
      <alignment horizontal="center" vertical="center"/>
    </xf>
    <xf numFmtId="0" fontId="185" fillId="0" borderId="9" xfId="0" applyFont="1" applyFill="1" applyBorder="1" applyAlignment="1">
      <alignment horizontal="center" vertical="center"/>
    </xf>
    <xf numFmtId="14" fontId="185" fillId="0" borderId="9" xfId="5" applyNumberFormat="1" applyFont="1" applyFill="1" applyBorder="1" applyAlignment="1">
      <alignment horizontal="center" vertical="center"/>
    </xf>
    <xf numFmtId="0" fontId="184" fillId="0" borderId="4" xfId="0" applyFont="1" applyFill="1" applyBorder="1" applyAlignment="1">
      <alignment horizontal="center" vertical="center"/>
    </xf>
    <xf numFmtId="0" fontId="185" fillId="0" borderId="6" xfId="0" applyFont="1" applyFill="1" applyBorder="1" applyAlignment="1">
      <alignment horizontal="center" vertical="center"/>
    </xf>
    <xf numFmtId="14" fontId="185" fillId="0" borderId="6" xfId="5" applyNumberFormat="1" applyFont="1" applyFill="1" applyBorder="1" applyAlignment="1">
      <alignment horizontal="center" vertical="center"/>
    </xf>
    <xf numFmtId="0" fontId="184" fillId="0" borderId="2" xfId="0" applyFont="1" applyFill="1" applyBorder="1" applyAlignment="1">
      <alignment horizontal="center" vertical="center"/>
    </xf>
    <xf numFmtId="14" fontId="185" fillId="0" borderId="7" xfId="5" applyNumberFormat="1" applyFont="1" applyFill="1" applyBorder="1" applyAlignment="1">
      <alignment horizontal="center" vertical="center"/>
    </xf>
    <xf numFmtId="0" fontId="28" fillId="0" borderId="20" xfId="0" applyFont="1" applyBorder="1" applyAlignment="1">
      <alignment horizontal="center" vertical="center"/>
    </xf>
    <xf numFmtId="0" fontId="10" fillId="0" borderId="18" xfId="0" applyFont="1" applyBorder="1" applyAlignment="1">
      <alignment horizontal="center"/>
    </xf>
    <xf numFmtId="0" fontId="10" fillId="0" borderId="22" xfId="0" applyFont="1" applyBorder="1" applyAlignment="1">
      <alignment horizontal="center"/>
    </xf>
    <xf numFmtId="0" fontId="220" fillId="0" borderId="20" xfId="0" applyFont="1" applyBorder="1" applyAlignment="1">
      <alignment horizontal="center"/>
    </xf>
    <xf numFmtId="0" fontId="220" fillId="0" borderId="9" xfId="0" applyFont="1" applyBorder="1" applyAlignment="1">
      <alignment horizontal="center"/>
    </xf>
    <xf numFmtId="0" fontId="221" fillId="5" borderId="9" xfId="0" applyFont="1" applyFill="1" applyBorder="1" applyAlignment="1">
      <alignment horizontal="center"/>
    </xf>
    <xf numFmtId="0" fontId="115" fillId="5" borderId="9" xfId="0" applyFont="1" applyFill="1" applyBorder="1" applyAlignment="1">
      <alignment horizontal="center"/>
    </xf>
    <xf numFmtId="0" fontId="221" fillId="0" borderId="20" xfId="0" applyFont="1" applyBorder="1" applyAlignment="1">
      <alignment horizontal="center"/>
    </xf>
    <xf numFmtId="0" fontId="221" fillId="0" borderId="9" xfId="0" applyFont="1" applyBorder="1" applyAlignment="1">
      <alignment horizontal="center"/>
    </xf>
    <xf numFmtId="0" fontId="221" fillId="6" borderId="9" xfId="0" applyFont="1" applyFill="1" applyBorder="1" applyAlignment="1">
      <alignment horizontal="center"/>
    </xf>
    <xf numFmtId="0" fontId="143" fillId="0" borderId="9" xfId="0" applyFont="1" applyBorder="1"/>
    <xf numFmtId="0" fontId="143" fillId="0" borderId="6" xfId="0" applyFont="1" applyBorder="1"/>
    <xf numFmtId="0" fontId="222" fillId="0" borderId="1" xfId="0" applyFont="1" applyBorder="1" applyAlignment="1">
      <alignment horizontal="left" vertical="center"/>
    </xf>
    <xf numFmtId="0" fontId="220" fillId="0" borderId="0" xfId="0" applyFont="1" applyBorder="1" applyAlignment="1">
      <alignment horizontal="center"/>
    </xf>
    <xf numFmtId="0" fontId="40" fillId="0" borderId="0" xfId="0" applyFont="1" applyBorder="1"/>
    <xf numFmtId="0" fontId="10" fillId="0" borderId="1" xfId="0" applyFont="1" applyBorder="1" applyAlignment="1">
      <alignment horizontal="left" indent="1"/>
    </xf>
    <xf numFmtId="0" fontId="7" fillId="0" borderId="0" xfId="0" applyFont="1" applyFill="1" applyBorder="1" applyAlignment="1">
      <alignment horizontal="justify" vertical="center"/>
    </xf>
    <xf numFmtId="0" fontId="5" fillId="0" borderId="0" xfId="0" applyFont="1" applyBorder="1" applyAlignment="1">
      <alignment horizontal="center" vertical="center"/>
    </xf>
    <xf numFmtId="0" fontId="190" fillId="0" borderId="0" xfId="0" applyFont="1" applyBorder="1" applyAlignment="1">
      <alignment horizontal="center" vertical="center"/>
    </xf>
    <xf numFmtId="166" fontId="225" fillId="0" borderId="0" xfId="5" applyFont="1"/>
    <xf numFmtId="0" fontId="217" fillId="0" borderId="0" xfId="0" applyFont="1"/>
    <xf numFmtId="0" fontId="225" fillId="0" borderId="0" xfId="0" applyFont="1"/>
    <xf numFmtId="49" fontId="70" fillId="0" borderId="1" xfId="0" applyNumberFormat="1" applyFont="1" applyBorder="1" applyAlignment="1">
      <alignment horizontal="center" vertical="center"/>
    </xf>
    <xf numFmtId="0" fontId="13" fillId="7" borderId="1" xfId="0" applyFont="1" applyFill="1" applyBorder="1" applyAlignment="1">
      <alignment horizontal="center" vertical="center"/>
    </xf>
    <xf numFmtId="0" fontId="13" fillId="7" borderId="18" xfId="0" applyFont="1" applyFill="1" applyBorder="1" applyAlignment="1">
      <alignment horizontal="center" vertical="center"/>
    </xf>
    <xf numFmtId="0" fontId="7" fillId="0" borderId="83" xfId="0" applyFont="1" applyBorder="1" applyAlignment="1">
      <alignment vertical="center"/>
    </xf>
    <xf numFmtId="0" fontId="7" fillId="0" borderId="25" xfId="0" applyFont="1" applyBorder="1" applyAlignment="1">
      <alignment vertical="center"/>
    </xf>
    <xf numFmtId="0" fontId="0" fillId="0" borderId="19" xfId="0" applyBorder="1" applyAlignment="1">
      <alignment vertical="center"/>
    </xf>
    <xf numFmtId="178" fontId="0" fillId="0" borderId="0" xfId="0" applyNumberFormat="1" applyBorder="1" applyAlignment="1">
      <alignment horizontal="left"/>
    </xf>
    <xf numFmtId="0" fontId="14" fillId="0" borderId="9" xfId="0" applyFont="1" applyBorder="1" applyAlignment="1">
      <alignment horizontal="center" vertical="center"/>
    </xf>
    <xf numFmtId="166" fontId="40" fillId="0" borderId="0" xfId="5" applyFont="1" applyBorder="1"/>
    <xf numFmtId="0" fontId="185" fillId="0" borderId="33" xfId="0" applyFont="1" applyFill="1" applyBorder="1" applyAlignment="1">
      <alignment horizontal="center"/>
    </xf>
    <xf numFmtId="0" fontId="185" fillId="0" borderId="34" xfId="0" applyFont="1" applyFill="1" applyBorder="1" applyAlignment="1">
      <alignment horizontal="center"/>
    </xf>
    <xf numFmtId="178" fontId="11" fillId="0" borderId="93" xfId="0" applyNumberFormat="1" applyFont="1" applyBorder="1"/>
    <xf numFmtId="178" fontId="11" fillId="0" borderId="94" xfId="0" applyNumberFormat="1" applyFont="1" applyBorder="1"/>
    <xf numFmtId="180" fontId="0" fillId="0" borderId="95" xfId="0" applyNumberFormat="1" applyBorder="1"/>
    <xf numFmtId="180" fontId="0" fillId="0" borderId="96" xfId="0" applyNumberFormat="1" applyBorder="1"/>
    <xf numFmtId="178" fontId="11" fillId="0" borderId="97" xfId="0" applyNumberFormat="1" applyFont="1" applyBorder="1"/>
    <xf numFmtId="185" fontId="7" fillId="0" borderId="98" xfId="9" applyNumberFormat="1" applyFont="1" applyBorder="1"/>
    <xf numFmtId="39" fontId="52" fillId="0" borderId="98" xfId="5" applyNumberFormat="1" applyFont="1" applyBorder="1"/>
    <xf numFmtId="0" fontId="10" fillId="0" borderId="99" xfId="0" applyFont="1" applyBorder="1" applyAlignment="1">
      <alignment horizontal="center"/>
    </xf>
    <xf numFmtId="177" fontId="10" fillId="7" borderId="1" xfId="0" applyNumberFormat="1" applyFont="1" applyFill="1" applyBorder="1" applyAlignment="1">
      <alignment horizontal="center"/>
    </xf>
    <xf numFmtId="177" fontId="10" fillId="7" borderId="47" xfId="0" applyNumberFormat="1" applyFont="1" applyFill="1" applyBorder="1" applyAlignment="1">
      <alignment horizontal="center"/>
    </xf>
    <xf numFmtId="0" fontId="3" fillId="0" borderId="58" xfId="0" applyFont="1" applyBorder="1" applyAlignment="1">
      <alignment horizontal="center"/>
    </xf>
    <xf numFmtId="0" fontId="3" fillId="0" borderId="8" xfId="0" applyFont="1" applyBorder="1" applyAlignment="1">
      <alignment horizontal="center"/>
    </xf>
    <xf numFmtId="0" fontId="216" fillId="0" borderId="22" xfId="0" applyFont="1" applyBorder="1" applyAlignment="1">
      <alignment horizontal="center"/>
    </xf>
    <xf numFmtId="0" fontId="227" fillId="0" borderId="8" xfId="0" applyFont="1" applyFill="1" applyBorder="1" applyAlignment="1">
      <alignment horizontal="center" vertical="center"/>
    </xf>
    <xf numFmtId="0" fontId="30" fillId="0" borderId="22" xfId="0" applyFont="1" applyFill="1" applyBorder="1" applyAlignment="1">
      <alignment horizontal="center" vertical="center"/>
    </xf>
    <xf numFmtId="0" fontId="13" fillId="0" borderId="1" xfId="0" applyFont="1" applyBorder="1" applyAlignment="1">
      <alignment horizontal="left" vertical="center" indent="1"/>
    </xf>
    <xf numFmtId="181" fontId="0" fillId="0" borderId="0" xfId="0" applyNumberFormat="1"/>
    <xf numFmtId="0" fontId="39" fillId="0" borderId="8" xfId="0" applyFont="1" applyFill="1" applyBorder="1" applyAlignment="1">
      <alignment horizontal="center" vertical="center"/>
    </xf>
    <xf numFmtId="0" fontId="234" fillId="0" borderId="1" xfId="0" applyFont="1" applyFill="1" applyBorder="1" applyAlignment="1">
      <alignment horizontal="center" vertical="center"/>
    </xf>
    <xf numFmtId="0" fontId="235" fillId="0" borderId="1" xfId="0" applyFont="1" applyFill="1" applyBorder="1" applyAlignment="1">
      <alignment horizontal="center" vertical="center"/>
    </xf>
    <xf numFmtId="0" fontId="39" fillId="5" borderId="8" xfId="0" applyFont="1" applyFill="1" applyBorder="1" applyAlignment="1">
      <alignment horizontal="center" vertical="center"/>
    </xf>
    <xf numFmtId="0" fontId="238" fillId="5" borderId="1" xfId="0" applyFont="1" applyFill="1" applyBorder="1" applyAlignment="1">
      <alignment horizontal="center" vertical="center"/>
    </xf>
    <xf numFmtId="0" fontId="235" fillId="5" borderId="1" xfId="0" applyFont="1" applyFill="1" applyBorder="1" applyAlignment="1">
      <alignment horizontal="center" vertical="center"/>
    </xf>
    <xf numFmtId="14" fontId="236" fillId="5" borderId="1" xfId="5" applyNumberFormat="1" applyFont="1" applyFill="1" applyBorder="1" applyAlignment="1">
      <alignment horizontal="center" vertical="center"/>
    </xf>
    <xf numFmtId="0" fontId="239" fillId="6" borderId="8" xfId="0" applyFont="1" applyFill="1" applyBorder="1" applyAlignment="1">
      <alignment horizontal="center" vertical="center"/>
    </xf>
    <xf numFmtId="0" fontId="240" fillId="6" borderId="1" xfId="0" applyFont="1" applyFill="1" applyBorder="1" applyAlignment="1">
      <alignment horizontal="center" vertical="center"/>
    </xf>
    <xf numFmtId="0" fontId="241" fillId="6" borderId="1" xfId="0" applyFont="1" applyFill="1" applyBorder="1" applyAlignment="1">
      <alignment horizontal="center" vertical="center"/>
    </xf>
    <xf numFmtId="0" fontId="242" fillId="6" borderId="8" xfId="0" applyFont="1" applyFill="1" applyBorder="1" applyAlignment="1">
      <alignment horizontal="center" vertical="center"/>
    </xf>
    <xf numFmtId="0" fontId="181" fillId="6" borderId="1" xfId="0" applyFont="1" applyFill="1" applyBorder="1" applyAlignment="1">
      <alignment horizontal="center" vertical="center"/>
    </xf>
    <xf numFmtId="0" fontId="228" fillId="6" borderId="1" xfId="0" applyFont="1" applyFill="1" applyBorder="1" applyAlignment="1">
      <alignment horizontal="center" vertical="center"/>
    </xf>
    <xf numFmtId="14" fontId="243" fillId="6" borderId="1" xfId="5" applyNumberFormat="1" applyFont="1" applyFill="1" applyBorder="1" applyAlignment="1">
      <alignment horizontal="center" vertical="center"/>
    </xf>
    <xf numFmtId="0" fontId="0" fillId="0" borderId="37" xfId="0" applyBorder="1" applyAlignment="1">
      <alignment horizontal="center"/>
    </xf>
    <xf numFmtId="0" fontId="0" fillId="0" borderId="18" xfId="0" applyBorder="1" applyAlignment="1">
      <alignment horizontal="center"/>
    </xf>
    <xf numFmtId="0" fontId="245" fillId="0" borderId="100" xfId="0" applyFont="1" applyBorder="1"/>
    <xf numFmtId="0" fontId="14" fillId="0" borderId="36" xfId="0" applyFont="1" applyBorder="1"/>
    <xf numFmtId="0" fontId="244" fillId="0" borderId="27" xfId="0" applyFont="1" applyBorder="1"/>
    <xf numFmtId="0" fontId="14" fillId="0" borderId="0" xfId="0" applyFont="1" applyBorder="1"/>
    <xf numFmtId="0" fontId="0" fillId="0" borderId="27" xfId="0" applyBorder="1" applyAlignment="1">
      <alignment wrapText="1"/>
    </xf>
    <xf numFmtId="0" fontId="0" fillId="0" borderId="28" xfId="0" applyBorder="1" applyAlignment="1">
      <alignment horizontal="justify" wrapText="1"/>
    </xf>
    <xf numFmtId="0" fontId="0" fillId="0" borderId="29" xfId="0" applyBorder="1" applyAlignment="1">
      <alignment horizontal="justify" wrapText="1"/>
    </xf>
    <xf numFmtId="0" fontId="14" fillId="0" borderId="29" xfId="0" applyFont="1" applyBorder="1"/>
    <xf numFmtId="186" fontId="60" fillId="0" borderId="19" xfId="5" applyNumberFormat="1" applyFont="1" applyFill="1" applyBorder="1" applyAlignment="1">
      <alignment horizontal="center" vertical="center"/>
    </xf>
    <xf numFmtId="186" fontId="60" fillId="0" borderId="1" xfId="5" applyNumberFormat="1" applyFont="1" applyFill="1" applyBorder="1" applyAlignment="1">
      <alignment horizontal="center" vertical="center"/>
    </xf>
    <xf numFmtId="0" fontId="246" fillId="0" borderId="18" xfId="0" applyFont="1" applyBorder="1" applyAlignment="1">
      <alignment horizontal="center" vertical="center"/>
    </xf>
    <xf numFmtId="186" fontId="25" fillId="0" borderId="19" xfId="5" applyNumberFormat="1" applyFont="1" applyFill="1" applyBorder="1" applyAlignment="1">
      <alignment horizontal="center" vertical="center"/>
    </xf>
    <xf numFmtId="0" fontId="247" fillId="0" borderId="20" xfId="0" applyFont="1" applyBorder="1" applyAlignment="1">
      <alignment horizontal="center" vertical="center"/>
    </xf>
    <xf numFmtId="0" fontId="246" fillId="0" borderId="22" xfId="0" applyFont="1" applyBorder="1" applyAlignment="1">
      <alignment horizontal="center" vertical="center"/>
    </xf>
    <xf numFmtId="186" fontId="25" fillId="0" borderId="1" xfId="5" applyNumberFormat="1" applyFont="1" applyFill="1" applyBorder="1" applyAlignment="1">
      <alignment horizontal="center" vertical="center"/>
    </xf>
    <xf numFmtId="0" fontId="247" fillId="0" borderId="9" xfId="0" applyFont="1" applyBorder="1" applyAlignment="1">
      <alignment horizontal="center" vertical="center"/>
    </xf>
    <xf numFmtId="0" fontId="52" fillId="7" borderId="101" xfId="0" applyFont="1" applyFill="1" applyBorder="1" applyAlignment="1">
      <alignment horizontal="center"/>
    </xf>
    <xf numFmtId="0" fontId="6" fillId="7" borderId="25" xfId="0" applyFont="1" applyFill="1" applyBorder="1" applyAlignment="1">
      <alignment horizontal="center"/>
    </xf>
    <xf numFmtId="169" fontId="3" fillId="8" borderId="84" xfId="0" applyNumberFormat="1" applyFont="1" applyFill="1" applyBorder="1" applyAlignment="1">
      <alignment horizontal="center"/>
    </xf>
    <xf numFmtId="0" fontId="7" fillId="0" borderId="102" xfId="0" applyFont="1" applyFill="1" applyBorder="1" applyAlignment="1">
      <alignment horizontal="center"/>
    </xf>
    <xf numFmtId="0" fontId="48" fillId="0" borderId="28" xfId="0" applyFont="1" applyBorder="1" applyAlignment="1">
      <alignment horizontal="left" vertical="center" indent="1"/>
    </xf>
    <xf numFmtId="0" fontId="48" fillId="0" borderId="30" xfId="0" applyFont="1" applyBorder="1" applyAlignment="1">
      <alignment horizontal="left" vertical="center" indent="1"/>
    </xf>
    <xf numFmtId="0" fontId="231" fillId="0" borderId="30" xfId="0" applyFont="1" applyBorder="1" applyAlignment="1">
      <alignment horizontal="left" vertical="center" indent="1"/>
    </xf>
    <xf numFmtId="0" fontId="219" fillId="0" borderId="30" xfId="0" applyFont="1" applyFill="1" applyBorder="1" applyAlignment="1">
      <alignment horizontal="left" vertical="center" indent="1"/>
    </xf>
    <xf numFmtId="0" fontId="10" fillId="8" borderId="83" xfId="0" applyFont="1" applyFill="1" applyBorder="1" applyAlignment="1">
      <alignment horizontal="left"/>
    </xf>
    <xf numFmtId="0" fontId="47" fillId="0" borderId="58" xfId="0" applyFont="1" applyBorder="1" applyAlignment="1">
      <alignment horizontal="center" vertical="center"/>
    </xf>
    <xf numFmtId="0" fontId="47" fillId="0" borderId="8" xfId="0" applyFont="1" applyBorder="1" applyAlignment="1">
      <alignment horizontal="center" vertical="center"/>
    </xf>
    <xf numFmtId="0" fontId="47" fillId="0" borderId="8" xfId="0" applyFont="1" applyFill="1" applyBorder="1" applyAlignment="1">
      <alignment horizontal="center" vertical="center"/>
    </xf>
    <xf numFmtId="0" fontId="221" fillId="0" borderId="103" xfId="0" applyFont="1" applyBorder="1" applyAlignment="1">
      <alignment horizontal="center" vertical="center"/>
    </xf>
    <xf numFmtId="0" fontId="221" fillId="0" borderId="104" xfId="0" applyFont="1" applyBorder="1" applyAlignment="1">
      <alignment horizontal="center" vertical="center"/>
    </xf>
    <xf numFmtId="0" fontId="13" fillId="7" borderId="11" xfId="0" applyFont="1" applyFill="1" applyBorder="1" applyAlignment="1">
      <alignment horizontal="center" vertical="center"/>
    </xf>
    <xf numFmtId="177" fontId="10" fillId="7" borderId="11" xfId="0" applyNumberFormat="1" applyFont="1" applyFill="1" applyBorder="1" applyAlignment="1">
      <alignment horizontal="center"/>
    </xf>
    <xf numFmtId="0" fontId="10" fillId="0" borderId="0" xfId="0" applyFont="1" applyBorder="1"/>
    <xf numFmtId="0" fontId="0" fillId="0" borderId="0" xfId="0" applyAlignment="1">
      <alignment horizontal="left" indent="2"/>
    </xf>
    <xf numFmtId="166" fontId="107" fillId="0" borderId="1" xfId="0" applyNumberFormat="1" applyFont="1" applyBorder="1" applyAlignment="1">
      <alignment horizontal="center"/>
    </xf>
    <xf numFmtId="166" fontId="6" fillId="0" borderId="1" xfId="5" applyFont="1" applyBorder="1" applyAlignment="1">
      <alignment horizontal="center"/>
    </xf>
    <xf numFmtId="0" fontId="7" fillId="0" borderId="0" xfId="0" applyFont="1" applyAlignment="1">
      <alignment horizontal="left" indent="1"/>
    </xf>
    <xf numFmtId="0" fontId="107" fillId="0" borderId="0" xfId="0" applyFont="1" applyAlignment="1">
      <alignment horizontal="center"/>
    </xf>
    <xf numFmtId="0" fontId="12" fillId="0" borderId="30" xfId="0" applyFont="1" applyFill="1" applyBorder="1" applyAlignment="1">
      <alignment horizontal="left" vertical="center"/>
    </xf>
    <xf numFmtId="0" fontId="10" fillId="0" borderId="54" xfId="0" applyFont="1" applyFill="1" applyBorder="1" applyAlignment="1">
      <alignment horizontal="center" vertical="center"/>
    </xf>
    <xf numFmtId="0" fontId="250" fillId="0" borderId="54" xfId="0" applyFont="1" applyBorder="1" applyAlignment="1">
      <alignment horizontal="left" vertical="center"/>
    </xf>
    <xf numFmtId="0" fontId="220" fillId="0" borderId="22" xfId="0" applyFont="1" applyBorder="1" applyAlignment="1">
      <alignment horizontal="left"/>
    </xf>
    <xf numFmtId="49" fontId="22" fillId="0" borderId="0" xfId="0" applyNumberFormat="1" applyFont="1" applyAlignment="1">
      <alignment horizontal="center"/>
    </xf>
    <xf numFmtId="49" fontId="22" fillId="0" borderId="35" xfId="0" applyNumberFormat="1" applyFont="1" applyBorder="1" applyAlignment="1">
      <alignment horizontal="center"/>
    </xf>
    <xf numFmtId="49" fontId="22" fillId="0" borderId="27" xfId="0" applyNumberFormat="1" applyFont="1" applyBorder="1" applyAlignment="1">
      <alignment horizontal="center"/>
    </xf>
    <xf numFmtId="0" fontId="251" fillId="0" borderId="46" xfId="0" applyFont="1" applyBorder="1"/>
    <xf numFmtId="49" fontId="251" fillId="0" borderId="46" xfId="0" applyNumberFormat="1" applyFont="1" applyBorder="1" applyAlignment="1">
      <alignment horizontal="center"/>
    </xf>
    <xf numFmtId="49" fontId="22" fillId="0" borderId="105" xfId="0" applyNumberFormat="1" applyFont="1" applyBorder="1" applyAlignment="1">
      <alignment horizontal="center"/>
    </xf>
    <xf numFmtId="0" fontId="0" fillId="0" borderId="62" xfId="0" applyBorder="1"/>
    <xf numFmtId="0" fontId="251" fillId="0" borderId="46" xfId="0" applyFont="1" applyBorder="1" applyAlignment="1">
      <alignment horizontal="center"/>
    </xf>
    <xf numFmtId="187" fontId="252" fillId="0" borderId="41" xfId="0" applyNumberFormat="1" applyFont="1" applyBorder="1" applyAlignment="1">
      <alignment horizontal="center"/>
    </xf>
    <xf numFmtId="187" fontId="252" fillId="0" borderId="0" xfId="0" applyNumberFormat="1" applyFont="1" applyBorder="1" applyAlignment="1">
      <alignment horizontal="center"/>
    </xf>
    <xf numFmtId="187" fontId="252" fillId="0" borderId="62" xfId="0" applyNumberFormat="1" applyFont="1" applyBorder="1" applyAlignment="1">
      <alignment horizontal="center"/>
    </xf>
    <xf numFmtId="187" fontId="22" fillId="0" borderId="0" xfId="0" applyNumberFormat="1" applyFont="1" applyAlignment="1">
      <alignment horizontal="center"/>
    </xf>
    <xf numFmtId="0" fontId="251" fillId="0" borderId="45" xfId="0" applyFont="1" applyBorder="1" applyAlignment="1">
      <alignment horizontal="center"/>
    </xf>
    <xf numFmtId="0" fontId="0" fillId="0" borderId="72" xfId="0" applyBorder="1" applyAlignment="1">
      <alignment horizontal="center"/>
    </xf>
    <xf numFmtId="0" fontId="0" fillId="0" borderId="73" xfId="0" applyBorder="1" applyAlignment="1">
      <alignment horizontal="center"/>
    </xf>
    <xf numFmtId="0" fontId="0" fillId="0" borderId="106" xfId="0" applyBorder="1" applyAlignment="1">
      <alignment horizontal="center"/>
    </xf>
    <xf numFmtId="0" fontId="0" fillId="0" borderId="60" xfId="0" applyBorder="1" applyAlignment="1">
      <alignment horizontal="center"/>
    </xf>
    <xf numFmtId="0" fontId="251" fillId="0" borderId="107" xfId="0" applyFont="1" applyBorder="1" applyAlignment="1">
      <alignment horizontal="center"/>
    </xf>
    <xf numFmtId="0" fontId="0" fillId="0" borderId="69" xfId="0" applyBorder="1" applyAlignment="1">
      <alignment horizontal="center"/>
    </xf>
    <xf numFmtId="0" fontId="182" fillId="0" borderId="0" xfId="0" applyFont="1" applyAlignment="1">
      <alignment horizontal="left"/>
    </xf>
    <xf numFmtId="0" fontId="183" fillId="0" borderId="0" xfId="0" applyFont="1" applyAlignment="1">
      <alignment horizontal="left" vertical="top" wrapText="1"/>
    </xf>
    <xf numFmtId="0" fontId="254" fillId="0" borderId="0" xfId="0" applyFont="1" applyAlignment="1">
      <alignment horizontal="left" vertical="top" wrapText="1"/>
    </xf>
    <xf numFmtId="0" fontId="255" fillId="0" borderId="0" xfId="0" applyFont="1" applyAlignment="1">
      <alignment horizontal="left" vertical="top" wrapText="1"/>
    </xf>
    <xf numFmtId="172" fontId="0" fillId="0" borderId="0" xfId="5" applyNumberFormat="1" applyFont="1" applyAlignment="1">
      <alignment horizontal="center"/>
    </xf>
    <xf numFmtId="177" fontId="256" fillId="9" borderId="5" xfId="0" applyNumberFormat="1" applyFont="1" applyFill="1" applyBorder="1" applyAlignment="1">
      <alignment horizontal="center"/>
    </xf>
    <xf numFmtId="9" fontId="0" fillId="0" borderId="0" xfId="9" applyFont="1" applyAlignment="1">
      <alignment horizontal="center"/>
    </xf>
    <xf numFmtId="0" fontId="10" fillId="0" borderId="0" xfId="0" applyFont="1" applyAlignment="1">
      <alignment horizontal="left"/>
    </xf>
    <xf numFmtId="0" fontId="0" fillId="0" borderId="0" xfId="0" applyAlignment="1">
      <alignment horizontal="left" indent="5"/>
    </xf>
    <xf numFmtId="0" fontId="17" fillId="0" borderId="1" xfId="0" applyFont="1" applyBorder="1"/>
    <xf numFmtId="0" fontId="17" fillId="0" borderId="0" xfId="0" applyFont="1" applyBorder="1"/>
    <xf numFmtId="0" fontId="258" fillId="0" borderId="0" xfId="8" quotePrefix="1" applyNumberFormat="1"/>
    <xf numFmtId="0" fontId="259" fillId="0" borderId="0" xfId="8" quotePrefix="1" applyNumberFormat="1" applyFont="1"/>
    <xf numFmtId="0" fontId="258" fillId="0" borderId="0" xfId="8"/>
    <xf numFmtId="0" fontId="259" fillId="0" borderId="0" xfId="8" applyFont="1"/>
    <xf numFmtId="189" fontId="0" fillId="0" borderId="0" xfId="5" applyNumberFormat="1" applyFont="1"/>
    <xf numFmtId="0" fontId="134" fillId="0" borderId="0" xfId="0" applyFont="1" applyFill="1" applyBorder="1" applyAlignment="1">
      <alignment horizontal="center" vertical="center"/>
    </xf>
    <xf numFmtId="14" fontId="32" fillId="0" borderId="0" xfId="0" applyNumberFormat="1" applyFont="1" applyFill="1" applyAlignment="1">
      <alignment horizontal="center" vertical="center"/>
    </xf>
    <xf numFmtId="1" fontId="26" fillId="0" borderId="0" xfId="0" applyNumberFormat="1" applyFont="1" applyAlignment="1">
      <alignment horizontal="center"/>
    </xf>
    <xf numFmtId="1" fontId="126" fillId="0" borderId="0" xfId="0" applyNumberFormat="1" applyFont="1" applyAlignment="1">
      <alignment horizontal="center"/>
    </xf>
    <xf numFmtId="1" fontId="32" fillId="0" borderId="2" xfId="0" applyNumberFormat="1" applyFont="1" applyBorder="1" applyAlignment="1">
      <alignment horizontal="center" vertical="center"/>
    </xf>
    <xf numFmtId="0" fontId="260" fillId="0" borderId="3" xfId="0" applyFont="1" applyBorder="1" applyAlignment="1">
      <alignment horizontal="left" vertical="center" indent="1"/>
    </xf>
    <xf numFmtId="0" fontId="32" fillId="0" borderId="3" xfId="0" applyFont="1" applyBorder="1" applyAlignment="1">
      <alignment horizontal="center" vertical="center"/>
    </xf>
    <xf numFmtId="0" fontId="260" fillId="0" borderId="7" xfId="0" applyFont="1" applyBorder="1" applyAlignment="1">
      <alignment horizontal="left" vertical="center" indent="1"/>
    </xf>
    <xf numFmtId="1" fontId="238" fillId="0" borderId="108" xfId="0" applyNumberFormat="1" applyFont="1" applyBorder="1" applyAlignment="1">
      <alignment horizontal="center"/>
    </xf>
    <xf numFmtId="0" fontId="27" fillId="0" borderId="0" xfId="0" applyFont="1" applyBorder="1"/>
    <xf numFmtId="0" fontId="27" fillId="0" borderId="73" xfId="0" applyFont="1" applyBorder="1"/>
    <xf numFmtId="1" fontId="126" fillId="0" borderId="52" xfId="0" applyNumberFormat="1" applyFont="1" applyBorder="1" applyAlignment="1">
      <alignment horizontal="center"/>
    </xf>
    <xf numFmtId="0" fontId="12" fillId="0" borderId="6" xfId="0" applyFont="1" applyBorder="1" applyAlignment="1">
      <alignment horizontal="left" indent="1"/>
    </xf>
    <xf numFmtId="1" fontId="234" fillId="0" borderId="0" xfId="0" applyNumberFormat="1" applyFont="1" applyBorder="1" applyAlignment="1">
      <alignment horizontal="center" vertical="center"/>
    </xf>
    <xf numFmtId="0" fontId="261" fillId="0" borderId="5" xfId="0" applyFont="1" applyBorder="1" applyAlignment="1">
      <alignment horizontal="left" vertical="center" indent="1"/>
    </xf>
    <xf numFmtId="0" fontId="12" fillId="0" borderId="62" xfId="0" applyFont="1" applyBorder="1" applyAlignment="1">
      <alignment horizontal="left" vertical="center" indent="11"/>
    </xf>
    <xf numFmtId="0" fontId="253" fillId="0" borderId="1" xfId="0" applyFont="1" applyBorder="1" applyAlignment="1">
      <alignment vertical="center"/>
    </xf>
    <xf numFmtId="1" fontId="126" fillId="0" borderId="8" xfId="0" applyNumberFormat="1" applyFont="1" applyBorder="1" applyAlignment="1">
      <alignment horizontal="center" vertical="center"/>
    </xf>
    <xf numFmtId="0" fontId="253" fillId="0" borderId="9" xfId="0" applyFont="1" applyBorder="1" applyAlignment="1">
      <alignment vertical="center"/>
    </xf>
    <xf numFmtId="1" fontId="126" fillId="0" borderId="4" xfId="0" applyNumberFormat="1" applyFont="1" applyBorder="1" applyAlignment="1">
      <alignment horizontal="center" vertical="center"/>
    </xf>
    <xf numFmtId="0" fontId="253" fillId="0" borderId="5" xfId="0" applyFont="1" applyBorder="1" applyAlignment="1">
      <alignment vertical="center"/>
    </xf>
    <xf numFmtId="190" fontId="126" fillId="0" borderId="5" xfId="0" applyNumberFormat="1" applyFont="1" applyBorder="1" applyAlignment="1">
      <alignment horizontal="center" vertical="center"/>
    </xf>
    <xf numFmtId="0" fontId="253" fillId="0" borderId="6" xfId="0" applyFont="1" applyBorder="1" applyAlignment="1">
      <alignment vertical="center"/>
    </xf>
    <xf numFmtId="1" fontId="238" fillId="0" borderId="0" xfId="0" applyNumberFormat="1" applyFont="1" applyBorder="1" applyAlignment="1">
      <alignment horizontal="center"/>
    </xf>
    <xf numFmtId="1" fontId="126" fillId="0" borderId="62" xfId="0" applyNumberFormat="1" applyFont="1" applyBorder="1" applyAlignment="1">
      <alignment horizontal="center"/>
    </xf>
    <xf numFmtId="1" fontId="7" fillId="0" borderId="74" xfId="0" applyNumberFormat="1" applyFont="1" applyFill="1" applyBorder="1" applyAlignment="1">
      <alignment horizontal="center" vertical="center"/>
    </xf>
    <xf numFmtId="1" fontId="10" fillId="0" borderId="22" xfId="0" applyNumberFormat="1" applyFont="1" applyFill="1" applyBorder="1" applyAlignment="1">
      <alignment horizontal="center" vertical="center"/>
    </xf>
    <xf numFmtId="1" fontId="234" fillId="0" borderId="62" xfId="0" applyNumberFormat="1" applyFont="1" applyFill="1" applyBorder="1" applyAlignment="1">
      <alignment horizontal="center" vertical="center"/>
    </xf>
    <xf numFmtId="1" fontId="10" fillId="0" borderId="24" xfId="0" applyNumberFormat="1" applyFont="1" applyFill="1" applyBorder="1" applyAlignment="1">
      <alignment horizontal="center" vertical="center"/>
    </xf>
    <xf numFmtId="0" fontId="260" fillId="0" borderId="3" xfId="0" applyFont="1" applyBorder="1" applyAlignment="1">
      <alignment horizontal="center" vertical="center"/>
    </xf>
    <xf numFmtId="190" fontId="253" fillId="0" borderId="1" xfId="0" applyNumberFormat="1" applyFont="1" applyBorder="1" applyAlignment="1">
      <alignment horizontal="center" vertical="center"/>
    </xf>
    <xf numFmtId="190" fontId="253" fillId="0" borderId="5" xfId="0" applyNumberFormat="1" applyFont="1" applyBorder="1" applyAlignment="1">
      <alignment horizontal="center" vertical="center"/>
    </xf>
    <xf numFmtId="0" fontId="27" fillId="0" borderId="0" xfId="0" applyFont="1" applyBorder="1" applyAlignment="1">
      <alignment horizontal="center"/>
    </xf>
    <xf numFmtId="1" fontId="126" fillId="0" borderId="46" xfId="0" applyNumberFormat="1" applyFont="1" applyBorder="1" applyAlignment="1">
      <alignment horizontal="center"/>
    </xf>
    <xf numFmtId="0" fontId="12" fillId="0" borderId="46" xfId="0" applyFont="1" applyBorder="1" applyAlignment="1">
      <alignment horizontal="left" vertical="center" indent="11"/>
    </xf>
    <xf numFmtId="1" fontId="234" fillId="0" borderId="46" xfId="0" applyNumberFormat="1" applyFont="1" applyFill="1" applyBorder="1" applyAlignment="1">
      <alignment horizontal="center" vertical="center"/>
    </xf>
    <xf numFmtId="0" fontId="261" fillId="0" borderId="46" xfId="0" applyFont="1" applyBorder="1" applyAlignment="1">
      <alignment horizontal="left" vertical="center" indent="1"/>
    </xf>
    <xf numFmtId="0" fontId="12" fillId="0" borderId="46" xfId="0" applyFont="1" applyBorder="1" applyAlignment="1">
      <alignment horizontal="left" indent="1"/>
    </xf>
    <xf numFmtId="0" fontId="146" fillId="0" borderId="0" xfId="0" applyFont="1" applyFill="1" applyBorder="1" applyAlignment="1">
      <alignment horizontal="center" vertical="center"/>
    </xf>
    <xf numFmtId="0" fontId="262" fillId="0" borderId="0" xfId="0" applyFont="1" applyBorder="1" applyAlignment="1">
      <alignment horizontal="center" vertical="center"/>
    </xf>
    <xf numFmtId="0" fontId="265" fillId="0" borderId="0" xfId="0" applyFont="1" applyFill="1" applyBorder="1" applyAlignment="1">
      <alignment horizontal="left" vertical="center"/>
    </xf>
    <xf numFmtId="0" fontId="15" fillId="0" borderId="0" xfId="4" applyFill="1" applyBorder="1" applyAlignment="1" applyProtection="1"/>
    <xf numFmtId="0" fontId="6" fillId="0" borderId="0" xfId="0" applyFont="1" applyFill="1" applyBorder="1"/>
    <xf numFmtId="0" fontId="11" fillId="0" borderId="0" xfId="0" applyFont="1" applyFill="1" applyBorder="1"/>
    <xf numFmtId="49" fontId="190" fillId="0" borderId="0" xfId="0" applyNumberFormat="1" applyFont="1" applyBorder="1" applyAlignment="1">
      <alignment horizontal="center" vertical="center"/>
    </xf>
    <xf numFmtId="49" fontId="260" fillId="0" borderId="3" xfId="0" applyNumberFormat="1" applyFont="1" applyBorder="1" applyAlignment="1">
      <alignment horizontal="center" vertical="center"/>
    </xf>
    <xf numFmtId="49" fontId="253" fillId="0" borderId="1" xfId="0" applyNumberFormat="1" applyFont="1" applyBorder="1" applyAlignment="1">
      <alignment horizontal="center" vertical="center"/>
    </xf>
    <xf numFmtId="49" fontId="253" fillId="0" borderId="5" xfId="0" applyNumberFormat="1" applyFont="1" applyBorder="1" applyAlignment="1">
      <alignment horizontal="center" vertical="center"/>
    </xf>
    <xf numFmtId="49" fontId="260" fillId="0" borderId="62" xfId="0" applyNumberFormat="1" applyFont="1" applyBorder="1" applyAlignment="1">
      <alignment horizontal="center" vertical="center"/>
    </xf>
    <xf numFmtId="49" fontId="260" fillId="0" borderId="46" xfId="0" applyNumberFormat="1" applyFont="1" applyBorder="1" applyAlignment="1">
      <alignment horizontal="center" vertical="center"/>
    </xf>
    <xf numFmtId="49" fontId="0" fillId="0" borderId="0" xfId="0" applyNumberFormat="1" applyAlignment="1">
      <alignment horizontal="center" vertical="center"/>
    </xf>
    <xf numFmtId="0" fontId="266" fillId="0" borderId="1" xfId="0" applyFont="1" applyBorder="1" applyAlignment="1">
      <alignment vertical="center"/>
    </xf>
    <xf numFmtId="0" fontId="267" fillId="0" borderId="1" xfId="0" applyFont="1" applyBorder="1" applyAlignment="1">
      <alignment vertical="center"/>
    </xf>
    <xf numFmtId="0" fontId="269" fillId="0" borderId="0" xfId="0" applyFont="1" applyAlignment="1">
      <alignment horizontal="center"/>
    </xf>
    <xf numFmtId="2" fontId="13" fillId="0" borderId="0" xfId="0" applyNumberFormat="1" applyFont="1" applyAlignment="1">
      <alignment horizontal="center"/>
    </xf>
    <xf numFmtId="0" fontId="103" fillId="0" borderId="0" xfId="0" applyFont="1" applyFill="1" applyBorder="1" applyAlignment="1">
      <alignment horizontal="center" vertical="center"/>
    </xf>
    <xf numFmtId="0" fontId="6" fillId="0" borderId="0" xfId="0" applyFont="1" applyAlignment="1">
      <alignment horizontal="left"/>
    </xf>
    <xf numFmtId="0" fontId="0" fillId="0" borderId="83" xfId="0" applyBorder="1" applyAlignment="1">
      <alignment horizontal="center" vertical="center"/>
    </xf>
    <xf numFmtId="0" fontId="0" fillId="0" borderId="72" xfId="0" applyBorder="1" applyAlignment="1">
      <alignment horizontal="center" vertical="center"/>
    </xf>
    <xf numFmtId="167" fontId="0" fillId="0" borderId="2" xfId="0" applyNumberFormat="1" applyBorder="1" applyAlignment="1">
      <alignment horizontal="center" vertical="center"/>
    </xf>
    <xf numFmtId="0" fontId="7" fillId="0" borderId="7" xfId="0" applyFont="1" applyBorder="1" applyAlignment="1">
      <alignment horizontal="center" vertical="center"/>
    </xf>
    <xf numFmtId="192" fontId="7" fillId="0" borderId="7" xfId="0" applyNumberFormat="1" applyFont="1" applyBorder="1" applyAlignment="1">
      <alignment horizontal="center" vertical="center"/>
    </xf>
    <xf numFmtId="167" fontId="0" fillId="0" borderId="8" xfId="0" applyNumberFormat="1" applyBorder="1" applyAlignment="1">
      <alignment horizontal="center" vertical="center"/>
    </xf>
    <xf numFmtId="0" fontId="7" fillId="0" borderId="9" xfId="0" applyFont="1" applyBorder="1" applyAlignment="1">
      <alignment horizontal="center" vertical="center"/>
    </xf>
    <xf numFmtId="192" fontId="7" fillId="0" borderId="9" xfId="0" applyNumberFormat="1" applyFont="1" applyBorder="1" applyAlignment="1">
      <alignment horizontal="center" vertical="center"/>
    </xf>
    <xf numFmtId="0" fontId="0" fillId="0" borderId="108" xfId="0" applyBorder="1" applyAlignment="1">
      <alignment horizontal="center" vertical="center"/>
    </xf>
    <xf numFmtId="0" fontId="0" fillId="0" borderId="73" xfId="0" applyBorder="1" applyAlignment="1">
      <alignment horizontal="center" vertical="center"/>
    </xf>
    <xf numFmtId="167" fontId="0" fillId="0" borderId="4" xfId="0" applyNumberFormat="1" applyBorder="1" applyAlignment="1">
      <alignment horizontal="center" vertical="center"/>
    </xf>
    <xf numFmtId="0" fontId="7" fillId="0" borderId="6" xfId="0" applyFont="1" applyBorder="1" applyAlignment="1">
      <alignment horizontal="center" vertical="center"/>
    </xf>
    <xf numFmtId="0" fontId="0" fillId="0" borderId="52" xfId="0" applyBorder="1" applyAlignment="1">
      <alignment horizontal="center" vertical="center"/>
    </xf>
    <xf numFmtId="0" fontId="226" fillId="0" borderId="8" xfId="0" applyFont="1" applyBorder="1" applyAlignment="1">
      <alignment horizontal="center" vertical="center"/>
    </xf>
    <xf numFmtId="0" fontId="218" fillId="0" borderId="22" xfId="0" applyFont="1" applyBorder="1" applyAlignment="1">
      <alignment horizontal="center" vertical="center"/>
    </xf>
    <xf numFmtId="14" fontId="11" fillId="0" borderId="0" xfId="0" applyNumberFormat="1" applyFont="1" applyFill="1" applyBorder="1"/>
    <xf numFmtId="2" fontId="12" fillId="0" borderId="0" xfId="0" applyNumberFormat="1" applyFont="1" applyBorder="1"/>
    <xf numFmtId="2" fontId="26" fillId="0" borderId="0" xfId="0" applyNumberFormat="1" applyFont="1" applyBorder="1"/>
    <xf numFmtId="0" fontId="6" fillId="0" borderId="35" xfId="0" applyFont="1" applyFill="1" applyBorder="1" applyAlignment="1">
      <alignment horizontal="center"/>
    </xf>
    <xf numFmtId="14" fontId="11" fillId="0" borderId="36" xfId="0" applyNumberFormat="1" applyFont="1" applyFill="1" applyBorder="1"/>
    <xf numFmtId="2" fontId="0" fillId="0" borderId="37" xfId="0" applyNumberFormat="1" applyBorder="1"/>
    <xf numFmtId="0" fontId="6" fillId="0" borderId="28" xfId="0" applyFont="1" applyFill="1" applyBorder="1" applyAlignment="1">
      <alignment horizontal="center"/>
    </xf>
    <xf numFmtId="14" fontId="11" fillId="0" borderId="29" xfId="0" applyNumberFormat="1" applyFont="1" applyFill="1" applyBorder="1"/>
    <xf numFmtId="2" fontId="0" fillId="0" borderId="18" xfId="0" applyNumberFormat="1" applyBorder="1"/>
    <xf numFmtId="0" fontId="5" fillId="0" borderId="35" xfId="0" applyFont="1" applyFill="1" applyBorder="1"/>
    <xf numFmtId="0" fontId="5" fillId="0" borderId="28" xfId="0" applyFont="1" applyFill="1" applyBorder="1"/>
    <xf numFmtId="2" fontId="0" fillId="0" borderId="18" xfId="0" applyNumberFormat="1" applyFill="1" applyBorder="1"/>
    <xf numFmtId="2" fontId="0" fillId="0" borderId="37" xfId="0" applyNumberFormat="1" applyFill="1" applyBorder="1"/>
    <xf numFmtId="0" fontId="5" fillId="0" borderId="27" xfId="0" applyFont="1" applyFill="1" applyBorder="1"/>
    <xf numFmtId="2" fontId="0" fillId="0" borderId="38" xfId="0" applyNumberFormat="1" applyFill="1" applyBorder="1"/>
    <xf numFmtId="0" fontId="6" fillId="0" borderId="30" xfId="0" applyFont="1" applyFill="1" applyBorder="1" applyAlignment="1">
      <alignment horizontal="left" indent="5"/>
    </xf>
    <xf numFmtId="0" fontId="11" fillId="0" borderId="54" xfId="0" applyFont="1" applyFill="1" applyBorder="1"/>
    <xf numFmtId="2" fontId="7" fillId="0" borderId="22" xfId="0" applyNumberFormat="1" applyFont="1" applyBorder="1"/>
    <xf numFmtId="4" fontId="13" fillId="0" borderId="0" xfId="0" applyNumberFormat="1" applyFont="1" applyBorder="1" applyAlignment="1">
      <alignment horizontal="center"/>
    </xf>
    <xf numFmtId="168" fontId="73" fillId="0" borderId="0" xfId="0" applyNumberFormat="1" applyFont="1" applyFill="1" applyBorder="1" applyAlignment="1">
      <alignment horizontal="center" vertical="center"/>
    </xf>
    <xf numFmtId="1" fontId="126" fillId="0" borderId="0" xfId="0" applyNumberFormat="1" applyFont="1" applyAlignment="1">
      <alignment horizontal="center" vertical="center"/>
    </xf>
    <xf numFmtId="0" fontId="126" fillId="0" borderId="0" xfId="0" applyFont="1" applyAlignment="1">
      <alignment horizontal="center" vertical="center"/>
    </xf>
    <xf numFmtId="0" fontId="0" fillId="0" borderId="0" xfId="0" applyAlignment="1">
      <alignment horizontal="left" vertical="center"/>
    </xf>
    <xf numFmtId="4" fontId="0" fillId="0" borderId="0" xfId="0" applyNumberFormat="1" applyBorder="1" applyAlignment="1">
      <alignment horizontal="left"/>
    </xf>
    <xf numFmtId="4" fontId="0" fillId="0" borderId="0" xfId="0" applyNumberFormat="1" applyBorder="1" applyAlignment="1">
      <alignment horizontal="center"/>
    </xf>
    <xf numFmtId="0" fontId="221" fillId="0" borderId="6" xfId="0" applyFont="1" applyBorder="1" applyAlignment="1">
      <alignment horizontal="center"/>
    </xf>
    <xf numFmtId="0" fontId="10" fillId="0" borderId="58" xfId="0" applyFont="1" applyFill="1" applyBorder="1" applyAlignment="1">
      <alignment horizontal="center" vertical="center"/>
    </xf>
    <xf numFmtId="0" fontId="10" fillId="0" borderId="8" xfId="0" applyFont="1" applyFill="1" applyBorder="1" applyAlignment="1">
      <alignment horizontal="center" vertical="center"/>
    </xf>
    <xf numFmtId="0" fontId="10" fillId="0" borderId="4" xfId="0" applyFont="1" applyFill="1" applyBorder="1" applyAlignment="1">
      <alignment horizontal="center" vertical="center"/>
    </xf>
    <xf numFmtId="0" fontId="45" fillId="0" borderId="19" xfId="0" applyFont="1" applyFill="1" applyBorder="1" applyAlignment="1">
      <alignment horizontal="center" vertical="center"/>
    </xf>
    <xf numFmtId="0" fontId="45" fillId="0" borderId="1" xfId="0" applyFont="1" applyFill="1" applyBorder="1" applyAlignment="1">
      <alignment horizontal="center" vertical="center"/>
    </xf>
    <xf numFmtId="0" fontId="45" fillId="0" borderId="5" xfId="0" applyFont="1" applyFill="1" applyBorder="1" applyAlignment="1">
      <alignment horizontal="center" vertical="center"/>
    </xf>
    <xf numFmtId="0" fontId="271" fillId="0" borderId="84" xfId="0" applyFont="1" applyFill="1" applyBorder="1" applyAlignment="1">
      <alignment horizontal="left" vertical="center"/>
    </xf>
    <xf numFmtId="0" fontId="0" fillId="0" borderId="46" xfId="0" applyBorder="1"/>
    <xf numFmtId="0" fontId="14" fillId="0" borderId="46" xfId="0" applyFont="1" applyBorder="1"/>
    <xf numFmtId="0" fontId="11" fillId="0" borderId="45" xfId="0" applyFont="1" applyBorder="1"/>
    <xf numFmtId="0" fontId="220" fillId="0" borderId="1" xfId="0" applyFont="1" applyBorder="1" applyAlignment="1">
      <alignment horizontal="center"/>
    </xf>
    <xf numFmtId="14" fontId="38" fillId="0" borderId="19" xfId="5" applyNumberFormat="1" applyFont="1" applyFill="1" applyBorder="1" applyAlignment="1">
      <alignment horizontal="center" vertical="center"/>
    </xf>
    <xf numFmtId="14" fontId="38" fillId="0" borderId="1" xfId="5" applyNumberFormat="1" applyFont="1" applyFill="1" applyBorder="1" applyAlignment="1">
      <alignment horizontal="center" vertical="center"/>
    </xf>
    <xf numFmtId="14" fontId="38" fillId="0" borderId="5" xfId="5" applyNumberFormat="1" applyFont="1" applyFill="1" applyBorder="1" applyAlignment="1">
      <alignment horizontal="center" vertical="center"/>
    </xf>
    <xf numFmtId="0" fontId="0" fillId="0" borderId="0" xfId="0" applyBorder="1" applyAlignment="1">
      <alignment horizontal="left" wrapText="1"/>
    </xf>
    <xf numFmtId="0" fontId="27" fillId="0" borderId="30" xfId="0" applyFont="1" applyFill="1" applyBorder="1" applyAlignment="1">
      <alignment horizontal="center" vertical="center"/>
    </xf>
    <xf numFmtId="0" fontId="27" fillId="0" borderId="54" xfId="0" applyFont="1" applyFill="1" applyBorder="1" applyAlignment="1">
      <alignment horizontal="center" vertical="center"/>
    </xf>
    <xf numFmtId="0" fontId="27" fillId="0" borderId="22" xfId="0" applyFont="1" applyFill="1" applyBorder="1" applyAlignment="1">
      <alignment horizontal="center" vertical="center"/>
    </xf>
    <xf numFmtId="0" fontId="7" fillId="0" borderId="0" xfId="0" applyFont="1" applyFill="1" applyBorder="1" applyAlignment="1">
      <alignment horizontal="center"/>
    </xf>
    <xf numFmtId="0" fontId="52" fillId="0" borderId="1" xfId="0" applyFont="1" applyFill="1" applyBorder="1" applyAlignment="1">
      <alignment horizontal="center" vertical="center"/>
    </xf>
    <xf numFmtId="0" fontId="61" fillId="0" borderId="1" xfId="0" applyFont="1" applyFill="1" applyBorder="1" applyAlignment="1">
      <alignment horizontal="center" vertical="center"/>
    </xf>
    <xf numFmtId="0" fontId="273" fillId="0" borderId="1" xfId="0" applyFont="1" applyFill="1" applyBorder="1" applyAlignment="1">
      <alignment horizontal="center" vertical="center"/>
    </xf>
    <xf numFmtId="0" fontId="52" fillId="0" borderId="1" xfId="0" applyFont="1" applyBorder="1" applyAlignment="1">
      <alignment horizontal="center" vertical="center"/>
    </xf>
    <xf numFmtId="0" fontId="277" fillId="0" borderId="1" xfId="0" applyFont="1" applyFill="1" applyBorder="1" applyAlignment="1">
      <alignment horizontal="center" vertical="center"/>
    </xf>
    <xf numFmtId="0" fontId="278" fillId="0" borderId="0" xfId="0" applyFont="1" applyFill="1" applyBorder="1" applyAlignment="1">
      <alignment horizontal="left" indent="1"/>
    </xf>
    <xf numFmtId="0" fontId="278" fillId="0" borderId="0" xfId="0" applyFont="1" applyBorder="1" applyAlignment="1">
      <alignment horizontal="left" indent="1"/>
    </xf>
    <xf numFmtId="0" fontId="4" fillId="0" borderId="0" xfId="0" applyFont="1" applyAlignment="1">
      <alignment horizontal="right" vertical="center"/>
    </xf>
    <xf numFmtId="0" fontId="262" fillId="0" borderId="0" xfId="0" applyFont="1" applyBorder="1" applyAlignment="1">
      <alignment horizontal="right" vertical="center"/>
    </xf>
    <xf numFmtId="169" fontId="279" fillId="7" borderId="84" xfId="0" applyNumberFormat="1" applyFont="1" applyFill="1" applyBorder="1" applyAlignment="1">
      <alignment horizontal="center" vertical="center" wrapText="1" shrinkToFit="1"/>
    </xf>
    <xf numFmtId="0" fontId="279" fillId="8" borderId="109" xfId="0" applyFont="1" applyFill="1" applyBorder="1" applyAlignment="1">
      <alignment horizontal="center" vertical="center" wrapText="1" shrinkToFit="1"/>
    </xf>
    <xf numFmtId="1" fontId="238" fillId="0" borderId="108" xfId="0" applyNumberFormat="1" applyFont="1" applyBorder="1" applyAlignment="1">
      <alignment horizontal="center" vertical="center"/>
    </xf>
    <xf numFmtId="1" fontId="10" fillId="0" borderId="5" xfId="0" applyNumberFormat="1" applyFont="1" applyFill="1" applyBorder="1" applyAlignment="1">
      <alignment horizontal="center" vertical="center"/>
    </xf>
    <xf numFmtId="0" fontId="52" fillId="0" borderId="22" xfId="0" applyFont="1" applyBorder="1" applyAlignment="1">
      <alignment horizontal="center" vertical="center"/>
    </xf>
    <xf numFmtId="0" fontId="52" fillId="0" borderId="110" xfId="0" applyFont="1" applyBorder="1" applyAlignment="1">
      <alignment horizontal="center" vertical="center"/>
    </xf>
    <xf numFmtId="0" fontId="61" fillId="0" borderId="110" xfId="0" applyFont="1" applyBorder="1" applyAlignment="1">
      <alignment horizontal="center" vertical="center"/>
    </xf>
    <xf numFmtId="0" fontId="273" fillId="0" borderId="110" xfId="0" applyFont="1" applyBorder="1" applyAlignment="1">
      <alignment horizontal="center" vertical="center"/>
    </xf>
    <xf numFmtId="0" fontId="275" fillId="0" borderId="47" xfId="0" applyFont="1" applyBorder="1" applyAlignment="1">
      <alignment vertical="center"/>
    </xf>
    <xf numFmtId="0" fontId="276" fillId="0" borderId="11" xfId="0" applyFont="1" applyBorder="1" applyAlignment="1">
      <alignment horizontal="center" vertical="center"/>
    </xf>
    <xf numFmtId="0" fontId="276" fillId="0" borderId="19" xfId="0" applyFont="1" applyBorder="1" applyAlignment="1">
      <alignment horizontal="center" vertical="center"/>
    </xf>
    <xf numFmtId="0" fontId="273" fillId="0" borderId="22" xfId="0" applyFont="1" applyFill="1" applyBorder="1" applyAlignment="1">
      <alignment horizontal="center" vertical="center"/>
    </xf>
    <xf numFmtId="0" fontId="273" fillId="0" borderId="47" xfId="0" applyFont="1" applyFill="1" applyBorder="1" applyAlignment="1">
      <alignment horizontal="center" vertical="center"/>
    </xf>
    <xf numFmtId="0" fontId="274" fillId="0" borderId="19" xfId="0" applyFont="1" applyFill="1" applyBorder="1" applyAlignment="1">
      <alignment horizontal="center" vertical="center"/>
    </xf>
    <xf numFmtId="0" fontId="15" fillId="0" borderId="0" xfId="4" applyFont="1" applyAlignment="1" applyProtection="1"/>
    <xf numFmtId="0" fontId="106" fillId="0" borderId="0" xfId="0" applyFont="1" applyAlignment="1">
      <alignment horizontal="center"/>
    </xf>
    <xf numFmtId="4" fontId="4" fillId="0" borderId="0" xfId="0" applyNumberFormat="1" applyFont="1"/>
    <xf numFmtId="4" fontId="0" fillId="0" borderId="111" xfId="0" applyNumberFormat="1" applyBorder="1" applyAlignment="1">
      <alignment horizontal="center"/>
    </xf>
    <xf numFmtId="0" fontId="0" fillId="0" borderId="112" xfId="0" applyBorder="1"/>
    <xf numFmtId="4" fontId="7" fillId="0" borderId="113" xfId="0" applyNumberFormat="1" applyFont="1" applyBorder="1" applyAlignment="1">
      <alignment horizontal="center"/>
    </xf>
    <xf numFmtId="4" fontId="0" fillId="0" borderId="88" xfId="0" applyNumberFormat="1" applyBorder="1" applyAlignment="1">
      <alignment horizontal="center"/>
    </xf>
    <xf numFmtId="0" fontId="0" fillId="0" borderId="88" xfId="0" applyBorder="1"/>
    <xf numFmtId="10" fontId="0" fillId="0" borderId="89" xfId="9" applyNumberFormat="1" applyFont="1" applyBorder="1" applyAlignment="1">
      <alignment horizontal="center"/>
    </xf>
    <xf numFmtId="0" fontId="27" fillId="0" borderId="114" xfId="0" applyFont="1" applyBorder="1" applyAlignment="1">
      <alignment horizontal="center" vertical="center"/>
    </xf>
    <xf numFmtId="0" fontId="27" fillId="0" borderId="115" xfId="0" applyFont="1" applyBorder="1" applyAlignment="1">
      <alignment horizontal="center" vertical="center"/>
    </xf>
    <xf numFmtId="0" fontId="27" fillId="0" borderId="115" xfId="0" applyFont="1" applyBorder="1" applyAlignment="1">
      <alignment vertical="center"/>
    </xf>
    <xf numFmtId="0" fontId="27" fillId="0" borderId="116" xfId="0" applyFont="1" applyBorder="1" applyAlignment="1">
      <alignment vertical="center"/>
    </xf>
    <xf numFmtId="0" fontId="283" fillId="0" borderId="114" xfId="0" applyFont="1" applyBorder="1" applyAlignment="1">
      <alignment horizontal="center" vertical="center"/>
    </xf>
    <xf numFmtId="0" fontId="283" fillId="0" borderId="115" xfId="0" applyFont="1" applyBorder="1" applyAlignment="1">
      <alignment horizontal="center" vertical="center"/>
    </xf>
    <xf numFmtId="0" fontId="283" fillId="0" borderId="115" xfId="0" applyFont="1" applyBorder="1" applyAlignment="1">
      <alignment vertical="center"/>
    </xf>
    <xf numFmtId="0" fontId="283" fillId="0" borderId="116" xfId="0" applyFont="1" applyBorder="1" applyAlignment="1">
      <alignment vertical="center"/>
    </xf>
    <xf numFmtId="0" fontId="284" fillId="0" borderId="0" xfId="0" applyFont="1"/>
    <xf numFmtId="0" fontId="285" fillId="0" borderId="0" xfId="0" applyFont="1" applyBorder="1" applyAlignment="1">
      <alignment horizontal="center"/>
    </xf>
    <xf numFmtId="14" fontId="287" fillId="0" borderId="0" xfId="0" applyNumberFormat="1" applyFont="1" applyAlignment="1">
      <alignment horizontal="center"/>
    </xf>
    <xf numFmtId="0" fontId="288" fillId="0" borderId="0" xfId="0" applyFont="1" applyFill="1"/>
    <xf numFmtId="0" fontId="275" fillId="0" borderId="0" xfId="0" applyFont="1" applyFill="1"/>
    <xf numFmtId="15" fontId="289" fillId="0" borderId="0" xfId="0" applyNumberFormat="1" applyFont="1" applyFill="1" applyBorder="1" applyAlignment="1">
      <alignment horizontal="center"/>
    </xf>
    <xf numFmtId="2" fontId="266" fillId="0" borderId="0" xfId="0" applyNumberFormat="1" applyFont="1" applyFill="1" applyBorder="1" applyAlignment="1">
      <alignment horizontal="center"/>
    </xf>
    <xf numFmtId="2" fontId="266" fillId="0" borderId="0" xfId="0" applyNumberFormat="1" applyFont="1" applyFill="1" applyAlignment="1">
      <alignment horizontal="center"/>
    </xf>
    <xf numFmtId="166" fontId="290" fillId="0" borderId="0" xfId="5" applyFont="1" applyBorder="1" applyAlignment="1">
      <alignment vertical="center"/>
    </xf>
    <xf numFmtId="0" fontId="28" fillId="0" borderId="0" xfId="0" applyFont="1" applyAlignment="1">
      <alignment horizontal="center" vertical="center"/>
    </xf>
    <xf numFmtId="0" fontId="28" fillId="0" borderId="0" xfId="0" applyFont="1" applyAlignment="1">
      <alignment vertical="center"/>
    </xf>
    <xf numFmtId="4" fontId="0" fillId="0" borderId="0" xfId="5" applyNumberFormat="1" applyFont="1"/>
    <xf numFmtId="3" fontId="0" fillId="0" borderId="0" xfId="5" applyNumberFormat="1" applyFont="1" applyAlignment="1">
      <alignment horizontal="center"/>
    </xf>
    <xf numFmtId="10" fontId="0" fillId="0" borderId="0" xfId="9" applyNumberFormat="1" applyFont="1" applyAlignment="1">
      <alignment horizontal="center"/>
    </xf>
    <xf numFmtId="16" fontId="26" fillId="0" borderId="0" xfId="0" applyNumberFormat="1" applyFont="1"/>
    <xf numFmtId="14" fontId="26" fillId="0" borderId="0" xfId="0" applyNumberFormat="1" applyFont="1" applyAlignment="1">
      <alignment horizontal="center"/>
    </xf>
    <xf numFmtId="4" fontId="26" fillId="0" borderId="0" xfId="0" applyNumberFormat="1" applyFont="1" applyAlignment="1">
      <alignment horizontal="center"/>
    </xf>
    <xf numFmtId="3" fontId="26" fillId="0" borderId="0" xfId="5" applyNumberFormat="1" applyFont="1" applyAlignment="1">
      <alignment horizontal="center"/>
    </xf>
    <xf numFmtId="3" fontId="0" fillId="0" borderId="0" xfId="0" applyNumberFormat="1" applyAlignment="1">
      <alignment horizontal="center"/>
    </xf>
    <xf numFmtId="4" fontId="26" fillId="0" borderId="0" xfId="5" applyNumberFormat="1" applyFont="1" applyAlignment="1">
      <alignment horizontal="center"/>
    </xf>
    <xf numFmtId="4" fontId="27" fillId="0" borderId="0" xfId="0" applyNumberFormat="1" applyFont="1" applyAlignment="1">
      <alignment horizontal="center"/>
    </xf>
    <xf numFmtId="14" fontId="32" fillId="0" borderId="0" xfId="0" applyNumberFormat="1" applyFont="1" applyAlignment="1">
      <alignment horizontal="center"/>
    </xf>
    <xf numFmtId="0" fontId="71" fillId="0" borderId="0" xfId="0" applyFont="1" applyAlignment="1">
      <alignment horizontal="left" indent="1"/>
    </xf>
    <xf numFmtId="10" fontId="26" fillId="0" borderId="0" xfId="9" applyNumberFormat="1" applyFont="1" applyAlignment="1">
      <alignment horizontal="center"/>
    </xf>
    <xf numFmtId="0" fontId="291" fillId="0" borderId="0" xfId="0" applyFont="1"/>
    <xf numFmtId="0" fontId="292" fillId="0" borderId="0" xfId="0" applyFont="1"/>
    <xf numFmtId="14" fontId="293" fillId="0" borderId="0" xfId="0" applyNumberFormat="1" applyFont="1" applyAlignment="1">
      <alignment horizontal="center"/>
    </xf>
    <xf numFmtId="4" fontId="291" fillId="0" borderId="0" xfId="0" applyNumberFormat="1" applyFont="1" applyAlignment="1">
      <alignment horizontal="center"/>
    </xf>
    <xf numFmtId="0" fontId="291" fillId="0" borderId="0" xfId="0" applyFont="1" applyAlignment="1">
      <alignment horizontal="center"/>
    </xf>
    <xf numFmtId="10" fontId="0" fillId="0" borderId="0" xfId="9" applyNumberFormat="1" applyFont="1"/>
    <xf numFmtId="166" fontId="0" fillId="0" borderId="0" xfId="5" applyFont="1" applyAlignment="1">
      <alignment horizontal="center"/>
    </xf>
    <xf numFmtId="0" fontId="294" fillId="0" borderId="0" xfId="0" applyFont="1"/>
    <xf numFmtId="0" fontId="295" fillId="0" borderId="38" xfId="0" applyFont="1" applyBorder="1"/>
    <xf numFmtId="0" fontId="296" fillId="0" borderId="1" xfId="0" applyFont="1" applyFill="1" applyBorder="1" applyAlignment="1">
      <alignment horizontal="center"/>
    </xf>
    <xf numFmtId="0" fontId="297" fillId="0" borderId="1" xfId="0" applyFont="1" applyFill="1" applyBorder="1" applyAlignment="1">
      <alignment horizontal="center"/>
    </xf>
    <xf numFmtId="0" fontId="292" fillId="0" borderId="1" xfId="0" applyFont="1" applyFill="1" applyBorder="1" applyAlignment="1">
      <alignment horizontal="center"/>
    </xf>
    <xf numFmtId="0" fontId="292" fillId="0" borderId="27" xfId="0" applyFont="1" applyFill="1" applyBorder="1" applyAlignment="1">
      <alignment horizontal="center"/>
    </xf>
    <xf numFmtId="0" fontId="292" fillId="0" borderId="38" xfId="0" applyFont="1" applyFill="1" applyBorder="1" applyAlignment="1">
      <alignment horizontal="center"/>
    </xf>
    <xf numFmtId="0" fontId="295" fillId="0" borderId="38" xfId="0" applyFont="1" applyBorder="1" applyAlignment="1">
      <alignment horizontal="center"/>
    </xf>
    <xf numFmtId="0" fontId="298" fillId="0" borderId="1" xfId="0" applyFont="1" applyFill="1" applyBorder="1" applyAlignment="1">
      <alignment horizontal="center" vertical="center"/>
    </xf>
    <xf numFmtId="0" fontId="299" fillId="0" borderId="1" xfId="0" applyFont="1" applyFill="1" applyBorder="1" applyAlignment="1">
      <alignment horizontal="center" vertical="center"/>
    </xf>
    <xf numFmtId="0" fontId="295" fillId="0" borderId="1" xfId="0" applyFont="1" applyFill="1" applyBorder="1" applyAlignment="1">
      <alignment horizontal="center" vertical="center"/>
    </xf>
    <xf numFmtId="0" fontId="295" fillId="0" borderId="27" xfId="0" applyFont="1" applyFill="1" applyBorder="1" applyAlignment="1">
      <alignment horizontal="center" vertical="center"/>
    </xf>
    <xf numFmtId="0" fontId="295" fillId="0" borderId="38" xfId="0" applyFont="1" applyFill="1" applyBorder="1" applyAlignment="1">
      <alignment horizontal="center" vertical="center"/>
    </xf>
    <xf numFmtId="0" fontId="295" fillId="0" borderId="0" xfId="0" applyFont="1" applyFill="1" applyBorder="1" applyAlignment="1">
      <alignment horizontal="center" vertical="center"/>
    </xf>
    <xf numFmtId="0" fontId="291" fillId="0" borderId="1" xfId="0" applyFont="1" applyBorder="1" applyAlignment="1">
      <alignment horizontal="center"/>
    </xf>
    <xf numFmtId="0" fontId="295" fillId="0" borderId="1" xfId="0" applyFont="1" applyBorder="1" applyAlignment="1">
      <alignment horizontal="center"/>
    </xf>
    <xf numFmtId="0" fontId="299" fillId="0" borderId="1" xfId="0" applyFont="1" applyBorder="1" applyAlignment="1">
      <alignment horizontal="center"/>
    </xf>
    <xf numFmtId="0" fontId="298" fillId="0" borderId="1" xfId="0" applyFont="1" applyBorder="1" applyAlignment="1">
      <alignment horizontal="left" vertical="center" indent="1"/>
    </xf>
    <xf numFmtId="0" fontId="292" fillId="0" borderId="0" xfId="0" applyFont="1" applyFill="1" applyBorder="1" applyAlignment="1">
      <alignment horizontal="center" vertical="center"/>
    </xf>
    <xf numFmtId="169" fontId="300" fillId="0" borderId="0" xfId="0" applyNumberFormat="1" applyFont="1" applyAlignment="1">
      <alignment horizontal="center"/>
    </xf>
    <xf numFmtId="0" fontId="298" fillId="0" borderId="1" xfId="0" applyFont="1" applyFill="1" applyBorder="1" applyAlignment="1">
      <alignment horizontal="left" vertical="center" indent="1"/>
    </xf>
    <xf numFmtId="0" fontId="291" fillId="0" borderId="0" xfId="0" applyFont="1" applyAlignment="1">
      <alignment horizontal="left" indent="1"/>
    </xf>
    <xf numFmtId="14" fontId="292" fillId="0" borderId="0" xfId="0" applyNumberFormat="1" applyFont="1" applyAlignment="1">
      <alignment horizontal="center"/>
    </xf>
    <xf numFmtId="2" fontId="291" fillId="0" borderId="0" xfId="0" applyNumberFormat="1" applyFont="1" applyAlignment="1">
      <alignment horizontal="center"/>
    </xf>
    <xf numFmtId="14" fontId="291" fillId="0" borderId="0" xfId="0" applyNumberFormat="1" applyFont="1" applyAlignment="1">
      <alignment horizontal="center"/>
    </xf>
    <xf numFmtId="14" fontId="292" fillId="0" borderId="0" xfId="0" applyNumberFormat="1" applyFont="1" applyAlignment="1">
      <alignment horizontal="left" indent="1"/>
    </xf>
    <xf numFmtId="2" fontId="292" fillId="0" borderId="0" xfId="0" applyNumberFormat="1" applyFont="1" applyAlignment="1">
      <alignment horizontal="center"/>
    </xf>
    <xf numFmtId="4" fontId="292" fillId="0" borderId="0" xfId="0" applyNumberFormat="1" applyFont="1" applyAlignment="1">
      <alignment horizontal="left"/>
    </xf>
    <xf numFmtId="4" fontId="291" fillId="0" borderId="0" xfId="0" applyNumberFormat="1" applyFont="1" applyAlignment="1">
      <alignment horizontal="left"/>
    </xf>
    <xf numFmtId="0" fontId="292" fillId="0" borderId="0" xfId="0" applyFont="1" applyAlignment="1">
      <alignment horizontal="left" indent="1"/>
    </xf>
    <xf numFmtId="0" fontId="291" fillId="0" borderId="0" xfId="0" applyFont="1" applyAlignment="1">
      <alignment horizontal="left"/>
    </xf>
    <xf numFmtId="0" fontId="292" fillId="0" borderId="0" xfId="0" applyFont="1" applyAlignment="1">
      <alignment horizontal="left"/>
    </xf>
    <xf numFmtId="0" fontId="301" fillId="0" borderId="0" xfId="4" applyFont="1" applyFill="1" applyBorder="1" applyAlignment="1" applyProtection="1"/>
    <xf numFmtId="0" fontId="269" fillId="10" borderId="0" xfId="1" applyFont="1" applyFill="1" applyBorder="1"/>
    <xf numFmtId="0" fontId="269" fillId="10" borderId="0" xfId="1" applyFont="1" applyFill="1" applyBorder="1" applyAlignment="1"/>
    <xf numFmtId="0" fontId="269" fillId="0" borderId="0" xfId="1" applyFont="1" applyBorder="1"/>
    <xf numFmtId="0" fontId="269" fillId="0" borderId="0" xfId="1" applyFont="1" applyFill="1" applyBorder="1"/>
    <xf numFmtId="0" fontId="302" fillId="0" borderId="48" xfId="1" applyFont="1" applyFill="1" applyBorder="1"/>
    <xf numFmtId="0" fontId="269" fillId="10" borderId="41" xfId="1" applyFont="1" applyFill="1" applyBorder="1"/>
    <xf numFmtId="4" fontId="0" fillId="0" borderId="41" xfId="0" applyNumberFormat="1" applyBorder="1" applyAlignment="1">
      <alignment horizontal="center"/>
    </xf>
    <xf numFmtId="0" fontId="269" fillId="10" borderId="72" xfId="1" applyFont="1" applyFill="1" applyBorder="1"/>
    <xf numFmtId="0" fontId="302" fillId="0" borderId="108" xfId="1" applyFont="1" applyFill="1" applyBorder="1"/>
    <xf numFmtId="0" fontId="269" fillId="0" borderId="73" xfId="1" applyFont="1" applyBorder="1" applyAlignment="1">
      <alignment vertical="center" wrapText="1"/>
    </xf>
    <xf numFmtId="0" fontId="269" fillId="10" borderId="73" xfId="1" applyFont="1" applyFill="1" applyBorder="1" applyAlignment="1">
      <alignment wrapText="1"/>
    </xf>
    <xf numFmtId="0" fontId="269" fillId="0" borderId="62" xfId="1" applyFont="1" applyBorder="1"/>
    <xf numFmtId="4" fontId="0" fillId="0" borderId="62" xfId="0" applyNumberFormat="1" applyBorder="1" applyAlignment="1">
      <alignment horizontal="center"/>
    </xf>
    <xf numFmtId="0" fontId="269" fillId="0" borderId="60" xfId="1" applyFont="1" applyBorder="1"/>
    <xf numFmtId="0" fontId="269" fillId="10" borderId="73" xfId="1" applyFont="1" applyFill="1" applyBorder="1"/>
    <xf numFmtId="0" fontId="269" fillId="0" borderId="73" xfId="1" applyFont="1" applyBorder="1"/>
    <xf numFmtId="0" fontId="269" fillId="0" borderId="62" xfId="1" applyFont="1" applyFill="1" applyBorder="1"/>
    <xf numFmtId="0" fontId="269" fillId="0" borderId="60" xfId="1" applyFont="1" applyFill="1" applyBorder="1"/>
    <xf numFmtId="0" fontId="269" fillId="0" borderId="41" xfId="1" applyFont="1" applyFill="1" applyBorder="1"/>
    <xf numFmtId="0" fontId="269" fillId="0" borderId="72" xfId="1" applyFont="1" applyFill="1" applyBorder="1"/>
    <xf numFmtId="0" fontId="269" fillId="0" borderId="73" xfId="1" applyFont="1" applyFill="1" applyBorder="1"/>
    <xf numFmtId="0" fontId="269" fillId="10" borderId="62" xfId="1" applyFont="1" applyFill="1" applyBorder="1"/>
    <xf numFmtId="0" fontId="269" fillId="10" borderId="60" xfId="1" applyFont="1" applyFill="1" applyBorder="1"/>
    <xf numFmtId="0" fontId="302" fillId="10" borderId="0" xfId="1" applyFont="1" applyFill="1" applyBorder="1"/>
    <xf numFmtId="0" fontId="303" fillId="0" borderId="52" xfId="1" applyFont="1" applyFill="1" applyBorder="1"/>
    <xf numFmtId="0" fontId="303" fillId="0" borderId="108" xfId="1" applyFont="1" applyFill="1" applyBorder="1"/>
    <xf numFmtId="0" fontId="52" fillId="0" borderId="101" xfId="0" applyFont="1" applyFill="1" applyBorder="1" applyAlignment="1">
      <alignment horizontal="center" vertical="center"/>
    </xf>
    <xf numFmtId="0" fontId="5" fillId="0" borderId="85" xfId="0" applyFont="1" applyBorder="1"/>
    <xf numFmtId="0" fontId="6" fillId="0" borderId="17" xfId="0" applyFont="1" applyFill="1" applyBorder="1" applyAlignment="1">
      <alignment horizontal="center" vertical="center"/>
    </xf>
    <xf numFmtId="0" fontId="6" fillId="0" borderId="23" xfId="0" applyFont="1" applyFill="1" applyBorder="1" applyAlignment="1">
      <alignment horizontal="center" vertical="center"/>
    </xf>
    <xf numFmtId="14" fontId="71" fillId="0" borderId="25" xfId="5" applyNumberFormat="1" applyFont="1" applyFill="1" applyBorder="1" applyAlignment="1">
      <alignment horizontal="left" vertical="center"/>
    </xf>
    <xf numFmtId="0" fontId="22" fillId="0" borderId="2" xfId="0" applyFont="1" applyFill="1" applyBorder="1" applyAlignment="1">
      <alignment horizontal="center" vertical="center"/>
    </xf>
    <xf numFmtId="0" fontId="69" fillId="0" borderId="7" xfId="0" applyFont="1" applyFill="1" applyBorder="1" applyAlignment="1">
      <alignment horizontal="center" vertical="center"/>
    </xf>
    <xf numFmtId="0" fontId="22" fillId="0" borderId="4" xfId="0" applyFont="1" applyFill="1" applyBorder="1" applyAlignment="1">
      <alignment horizontal="center" vertical="center"/>
    </xf>
    <xf numFmtId="0" fontId="69" fillId="0" borderId="6" xfId="0" applyFont="1" applyFill="1" applyBorder="1" applyAlignment="1">
      <alignment horizontal="center" vertical="center"/>
    </xf>
    <xf numFmtId="0" fontId="234" fillId="5" borderId="1" xfId="0" applyFont="1" applyFill="1" applyBorder="1" applyAlignment="1">
      <alignment horizontal="center" vertical="center"/>
    </xf>
    <xf numFmtId="0" fontId="233" fillId="5" borderId="9" xfId="0" applyFont="1" applyFill="1" applyBorder="1" applyAlignment="1">
      <alignment horizontal="center"/>
    </xf>
    <xf numFmtId="0" fontId="5" fillId="0" borderId="30" xfId="0" applyFont="1" applyFill="1" applyBorder="1" applyAlignment="1">
      <alignment horizontal="left" vertical="center"/>
    </xf>
    <xf numFmtId="169" fontId="0" fillId="0" borderId="54" xfId="0" applyNumberFormat="1" applyBorder="1"/>
    <xf numFmtId="49" fontId="5" fillId="0" borderId="22" xfId="5" applyNumberFormat="1" applyFont="1" applyFill="1" applyBorder="1" applyAlignment="1">
      <alignment horizontal="center" vertical="center"/>
    </xf>
    <xf numFmtId="166" fontId="304" fillId="0" borderId="0" xfId="5" applyFont="1" applyBorder="1" applyAlignment="1">
      <alignment vertical="center"/>
    </xf>
    <xf numFmtId="0" fontId="47" fillId="0" borderId="0" xfId="0" applyFont="1" applyAlignment="1">
      <alignment horizontal="center" vertical="center"/>
    </xf>
    <xf numFmtId="0" fontId="61" fillId="0" borderId="0" xfId="0" applyFont="1" applyAlignment="1">
      <alignment horizontal="center" vertical="center"/>
    </xf>
    <xf numFmtId="0" fontId="305" fillId="0" borderId="0" xfId="0" applyFont="1" applyAlignment="1">
      <alignment horizontal="center"/>
    </xf>
    <xf numFmtId="14" fontId="13" fillId="0" borderId="0" xfId="0" applyNumberFormat="1" applyFont="1"/>
    <xf numFmtId="0" fontId="7" fillId="0" borderId="0" xfId="0" applyNumberFormat="1" applyFont="1"/>
    <xf numFmtId="0" fontId="308" fillId="0" borderId="0" xfId="0" applyFont="1"/>
    <xf numFmtId="166" fontId="27" fillId="0" borderId="0" xfId="5" applyFont="1" applyBorder="1" applyAlignment="1">
      <alignment horizontal="center"/>
    </xf>
    <xf numFmtId="0" fontId="310" fillId="11" borderId="117" xfId="0" applyFont="1" applyFill="1" applyBorder="1" applyAlignment="1">
      <alignment horizontal="center" vertical="center"/>
    </xf>
    <xf numFmtId="2" fontId="5" fillId="0" borderId="0" xfId="0" applyNumberFormat="1" applyFont="1"/>
    <xf numFmtId="0" fontId="55" fillId="7" borderId="54" xfId="4" applyFont="1" applyFill="1" applyBorder="1" applyAlignment="1" applyProtection="1">
      <alignment horizontal="left"/>
    </xf>
    <xf numFmtId="0" fontId="55" fillId="7" borderId="22" xfId="4" applyFont="1" applyFill="1" applyBorder="1" applyAlignment="1" applyProtection="1">
      <alignment horizontal="left"/>
    </xf>
    <xf numFmtId="0" fontId="13" fillId="7" borderId="63" xfId="0" applyFont="1" applyFill="1" applyBorder="1" applyAlignment="1">
      <alignment horizontal="center" vertical="center"/>
    </xf>
    <xf numFmtId="177" fontId="10" fillId="7" borderId="64" xfId="0" applyNumberFormat="1" applyFont="1" applyFill="1" applyBorder="1" applyAlignment="1">
      <alignment horizontal="center"/>
    </xf>
    <xf numFmtId="177" fontId="10" fillId="7" borderId="19" xfId="0" applyNumberFormat="1" applyFont="1" applyFill="1" applyBorder="1" applyAlignment="1">
      <alignment horizontal="center"/>
    </xf>
    <xf numFmtId="0" fontId="221" fillId="7" borderId="105" xfId="0" applyFont="1" applyFill="1" applyBorder="1" applyAlignment="1">
      <alignment horizontal="center" vertical="center"/>
    </xf>
    <xf numFmtId="0" fontId="221" fillId="7" borderId="27" xfId="0" applyFont="1" applyFill="1" applyBorder="1" applyAlignment="1">
      <alignment horizontal="center" vertical="center"/>
    </xf>
    <xf numFmtId="0" fontId="221" fillId="7" borderId="28" xfId="0" applyFont="1" applyFill="1" applyBorder="1" applyAlignment="1">
      <alignment horizontal="center" vertical="center"/>
    </xf>
    <xf numFmtId="0" fontId="221" fillId="7" borderId="30" xfId="0" applyFont="1" applyFill="1" applyBorder="1" applyAlignment="1">
      <alignment horizontal="center" vertical="center"/>
    </xf>
    <xf numFmtId="0" fontId="221" fillId="7" borderId="35" xfId="0" applyFont="1" applyFill="1" applyBorder="1" applyAlignment="1">
      <alignment horizontal="center" vertical="center"/>
    </xf>
    <xf numFmtId="0" fontId="221" fillId="9" borderId="34" xfId="0" applyFont="1" applyFill="1" applyBorder="1" applyAlignment="1">
      <alignment horizontal="center" vertical="center"/>
    </xf>
    <xf numFmtId="0" fontId="246" fillId="0" borderId="37" xfId="0" applyFont="1" applyBorder="1" applyAlignment="1">
      <alignment horizontal="center" vertical="center"/>
    </xf>
    <xf numFmtId="186" fontId="25" fillId="0" borderId="47" xfId="5" applyNumberFormat="1" applyFont="1" applyFill="1" applyBorder="1" applyAlignment="1">
      <alignment horizontal="center" vertical="center"/>
    </xf>
    <xf numFmtId="0" fontId="247" fillId="0" borderId="68" xfId="0" applyFont="1" applyBorder="1" applyAlignment="1">
      <alignment horizontal="center" vertical="center"/>
    </xf>
    <xf numFmtId="0" fontId="5" fillId="0" borderId="68" xfId="0" applyFont="1" applyBorder="1" applyAlignment="1">
      <alignment horizontal="center" vertical="center"/>
    </xf>
    <xf numFmtId="0" fontId="0" fillId="7" borderId="54" xfId="0" applyFill="1" applyBorder="1"/>
    <xf numFmtId="0" fontId="13" fillId="7" borderId="54" xfId="0" applyFont="1" applyFill="1" applyBorder="1" applyAlignment="1">
      <alignment horizontal="center"/>
    </xf>
    <xf numFmtId="0" fontId="146" fillId="7" borderId="54" xfId="0" applyFont="1" applyFill="1" applyBorder="1" applyAlignment="1">
      <alignment horizontal="center"/>
    </xf>
    <xf numFmtId="0" fontId="0" fillId="7" borderId="54" xfId="0" applyFill="1" applyBorder="1" applyAlignment="1">
      <alignment horizontal="center"/>
    </xf>
    <xf numFmtId="0" fontId="15" fillId="7" borderId="30" xfId="4" applyFill="1" applyBorder="1" applyAlignment="1" applyProtection="1">
      <alignment horizontal="left"/>
    </xf>
    <xf numFmtId="0" fontId="163" fillId="7" borderId="30" xfId="0" applyFont="1" applyFill="1" applyBorder="1" applyAlignment="1">
      <alignment horizontal="center"/>
    </xf>
    <xf numFmtId="0" fontId="3" fillId="0" borderId="80" xfId="0" applyFont="1" applyBorder="1" applyAlignment="1">
      <alignment horizontal="center"/>
    </xf>
    <xf numFmtId="0" fontId="10" fillId="0" borderId="37" xfId="0" applyFont="1" applyBorder="1" applyAlignment="1">
      <alignment horizontal="center"/>
    </xf>
    <xf numFmtId="0" fontId="48" fillId="0" borderId="35" xfId="0" applyFont="1" applyBorder="1" applyAlignment="1">
      <alignment horizontal="left" vertical="center" indent="1"/>
    </xf>
    <xf numFmtId="0" fontId="47" fillId="0" borderId="80" xfId="0" applyFont="1" applyBorder="1" applyAlignment="1">
      <alignment horizontal="center" vertical="center"/>
    </xf>
    <xf numFmtId="186" fontId="60" fillId="0" borderId="47" xfId="5" applyNumberFormat="1" applyFont="1" applyFill="1" applyBorder="1" applyAlignment="1">
      <alignment horizontal="center" vertical="center"/>
    </xf>
    <xf numFmtId="0" fontId="221" fillId="0" borderId="118" xfId="0" applyFont="1" applyBorder="1" applyAlignment="1">
      <alignment horizontal="center" vertical="center"/>
    </xf>
    <xf numFmtId="0" fontId="10" fillId="7" borderId="33" xfId="0" applyFont="1" applyFill="1" applyBorder="1"/>
    <xf numFmtId="0" fontId="10" fillId="7" borderId="86" xfId="0" applyFont="1" applyFill="1" applyBorder="1"/>
    <xf numFmtId="0" fontId="0" fillId="7" borderId="86" xfId="0" applyFill="1" applyBorder="1"/>
    <xf numFmtId="0" fontId="190" fillId="7" borderId="43" xfId="0" applyFont="1" applyFill="1" applyBorder="1" applyAlignment="1">
      <alignment horizontal="center" vertical="center"/>
    </xf>
    <xf numFmtId="0" fontId="190" fillId="7" borderId="119" xfId="0" applyFont="1" applyFill="1" applyBorder="1" applyAlignment="1">
      <alignment horizontal="center" vertical="center"/>
    </xf>
    <xf numFmtId="0" fontId="0" fillId="7" borderId="44" xfId="0" applyFill="1" applyBorder="1"/>
    <xf numFmtId="0" fontId="311" fillId="7" borderId="42" xfId="4" applyFont="1" applyFill="1" applyBorder="1" applyAlignment="1" applyProtection="1">
      <alignment horizontal="left"/>
    </xf>
    <xf numFmtId="0" fontId="10" fillId="7" borderId="22" xfId="0" applyFont="1" applyFill="1" applyBorder="1" applyAlignment="1">
      <alignment horizontal="center" vertical="center"/>
    </xf>
    <xf numFmtId="169" fontId="180" fillId="6" borderId="30" xfId="0" applyNumberFormat="1" applyFont="1" applyFill="1" applyBorder="1" applyAlignment="1">
      <alignment horizontal="center"/>
    </xf>
    <xf numFmtId="195" fontId="314" fillId="6" borderId="54" xfId="0" applyNumberFormat="1" applyFont="1" applyFill="1" applyBorder="1" applyAlignment="1">
      <alignment horizontal="center" vertical="center"/>
    </xf>
    <xf numFmtId="0" fontId="262" fillId="6" borderId="54" xfId="0" applyFont="1" applyFill="1" applyBorder="1" applyAlignment="1">
      <alignment horizontal="center" vertical="center"/>
    </xf>
    <xf numFmtId="193" fontId="262" fillId="6" borderId="54" xfId="0" applyNumberFormat="1" applyFont="1" applyFill="1" applyBorder="1" applyAlignment="1">
      <alignment horizontal="center" vertical="center"/>
    </xf>
    <xf numFmtId="194" fontId="180" fillId="6" borderId="54" xfId="0" applyNumberFormat="1" applyFont="1" applyFill="1" applyBorder="1" applyAlignment="1">
      <alignment horizontal="center"/>
    </xf>
    <xf numFmtId="194" fontId="41" fillId="6" borderId="22" xfId="5" applyNumberFormat="1" applyFont="1" applyFill="1" applyBorder="1"/>
    <xf numFmtId="14" fontId="0" fillId="0" borderId="30" xfId="0" applyNumberFormat="1" applyBorder="1"/>
    <xf numFmtId="0" fontId="10" fillId="0" borderId="30" xfId="0" applyFont="1" applyBorder="1" applyAlignment="1">
      <alignment horizontal="left"/>
    </xf>
    <xf numFmtId="14" fontId="0" fillId="0" borderId="54" xfId="0" applyNumberFormat="1" applyBorder="1" applyAlignment="1">
      <alignment horizontal="center"/>
    </xf>
    <xf numFmtId="196" fontId="4" fillId="0" borderId="22" xfId="0" applyNumberFormat="1" applyFont="1" applyBorder="1"/>
    <xf numFmtId="4" fontId="315" fillId="0" borderId="0" xfId="0" applyNumberFormat="1" applyFont="1" applyBorder="1" applyAlignment="1">
      <alignment horizontal="center"/>
    </xf>
    <xf numFmtId="187" fontId="252" fillId="0" borderId="36" xfId="0" applyNumberFormat="1" applyFont="1" applyFill="1" applyBorder="1" applyAlignment="1">
      <alignment horizontal="center"/>
    </xf>
    <xf numFmtId="187" fontId="252" fillId="0" borderId="0" xfId="0" applyNumberFormat="1" applyFont="1" applyFill="1" applyBorder="1" applyAlignment="1">
      <alignment horizontal="center"/>
    </xf>
    <xf numFmtId="195" fontId="318" fillId="0" borderId="36" xfId="0" applyNumberFormat="1" applyFont="1" applyFill="1" applyBorder="1" applyAlignment="1">
      <alignment horizontal="center" vertical="center"/>
    </xf>
    <xf numFmtId="0" fontId="317" fillId="0" borderId="0" xfId="0" applyFont="1"/>
    <xf numFmtId="0" fontId="316" fillId="0" borderId="0" xfId="0" applyFont="1"/>
    <xf numFmtId="0" fontId="317" fillId="0" borderId="35" xfId="0" applyFont="1" applyBorder="1"/>
    <xf numFmtId="4" fontId="0" fillId="0" borderId="36" xfId="0" applyNumberFormat="1" applyBorder="1" applyAlignment="1">
      <alignment horizontal="center"/>
    </xf>
    <xf numFmtId="0" fontId="316" fillId="0" borderId="27" xfId="0" applyFont="1" applyBorder="1"/>
    <xf numFmtId="0" fontId="317" fillId="0" borderId="27" xfId="0" applyFont="1" applyBorder="1"/>
    <xf numFmtId="0" fontId="317" fillId="0" borderId="28" xfId="0" applyFont="1" applyBorder="1"/>
    <xf numFmtId="4" fontId="0" fillId="0" borderId="29" xfId="0" applyNumberFormat="1" applyBorder="1" applyAlignment="1">
      <alignment horizontal="center"/>
    </xf>
    <xf numFmtId="0" fontId="320" fillId="0" borderId="8" xfId="0" applyFont="1" applyBorder="1" applyAlignment="1">
      <alignment horizontal="center"/>
    </xf>
    <xf numFmtId="0" fontId="235" fillId="0" borderId="22" xfId="0" applyFont="1" applyBorder="1" applyAlignment="1">
      <alignment horizontal="center"/>
    </xf>
    <xf numFmtId="0" fontId="321" fillId="0" borderId="30" xfId="0" applyFont="1" applyBorder="1" applyAlignment="1">
      <alignment horizontal="left" vertical="center" indent="1"/>
    </xf>
    <xf numFmtId="0" fontId="236" fillId="0" borderId="8" xfId="0" applyFont="1" applyBorder="1" applyAlignment="1">
      <alignment horizontal="center" vertical="center"/>
    </xf>
    <xf numFmtId="186" fontId="238" fillId="0" borderId="1" xfId="5" applyNumberFormat="1" applyFont="1" applyFill="1" applyBorder="1" applyAlignment="1">
      <alignment horizontal="center" vertical="center"/>
    </xf>
    <xf numFmtId="0" fontId="323" fillId="0" borderId="22" xfId="0" applyFont="1" applyBorder="1" applyAlignment="1">
      <alignment horizontal="center" vertical="center"/>
    </xf>
    <xf numFmtId="0" fontId="237" fillId="0" borderId="9" xfId="0" applyFont="1" applyBorder="1" applyAlignment="1">
      <alignment horizontal="center" vertical="center"/>
    </xf>
    <xf numFmtId="165" fontId="0" fillId="0" borderId="0" xfId="0" applyNumberFormat="1" applyAlignment="1">
      <alignment horizontal="center"/>
    </xf>
    <xf numFmtId="165" fontId="0" fillId="0" borderId="0" xfId="0" applyNumberFormat="1" applyBorder="1" applyAlignment="1">
      <alignment horizontal="left"/>
    </xf>
    <xf numFmtId="166" fontId="7" fillId="0" borderId="0" xfId="0" applyNumberFormat="1" applyFont="1" applyAlignment="1">
      <alignment horizontal="center"/>
    </xf>
    <xf numFmtId="181" fontId="7" fillId="0" borderId="120" xfId="0" applyNumberFormat="1" applyFont="1" applyBorder="1" applyAlignment="1">
      <alignment horizontal="center"/>
    </xf>
    <xf numFmtId="0" fontId="322" fillId="0" borderId="9" xfId="0" applyFont="1" applyFill="1" applyBorder="1" applyAlignment="1">
      <alignment horizontal="center" vertical="center"/>
    </xf>
    <xf numFmtId="0" fontId="324" fillId="0" borderId="0" xfId="0" applyFont="1" applyBorder="1" applyAlignment="1">
      <alignment horizontal="left" vertical="center"/>
    </xf>
    <xf numFmtId="0" fontId="13" fillId="0" borderId="54" xfId="0" applyFont="1" applyBorder="1" applyAlignment="1">
      <alignment horizontal="center"/>
    </xf>
    <xf numFmtId="14" fontId="13" fillId="0" borderId="0" xfId="0" applyNumberFormat="1" applyFont="1" applyAlignment="1">
      <alignment horizontal="center"/>
    </xf>
    <xf numFmtId="4" fontId="7" fillId="0" borderId="0" xfId="0" applyNumberFormat="1" applyFont="1" applyAlignment="1">
      <alignment horizontal="left"/>
    </xf>
    <xf numFmtId="166" fontId="7" fillId="0" borderId="0" xfId="0" applyNumberFormat="1" applyFont="1"/>
    <xf numFmtId="0" fontId="6" fillId="0" borderId="30" xfId="0" applyFont="1" applyBorder="1" applyAlignment="1">
      <alignment horizontal="left"/>
    </xf>
    <xf numFmtId="0" fontId="13" fillId="0" borderId="54" xfId="0" applyFont="1" applyBorder="1"/>
    <xf numFmtId="166" fontId="7" fillId="0" borderId="22" xfId="0" applyNumberFormat="1" applyFont="1" applyBorder="1"/>
    <xf numFmtId="0" fontId="8" fillId="0" borderId="30" xfId="0" applyNumberFormat="1" applyFont="1" applyBorder="1" applyAlignment="1">
      <alignment horizontal="left"/>
    </xf>
    <xf numFmtId="0" fontId="8" fillId="0" borderId="107" xfId="0" applyFont="1" applyBorder="1" applyAlignment="1">
      <alignment horizontal="left"/>
    </xf>
    <xf numFmtId="0" fontId="8" fillId="0" borderId="46" xfId="0" applyFont="1" applyBorder="1" applyAlignment="1">
      <alignment horizontal="center"/>
    </xf>
    <xf numFmtId="0" fontId="8" fillId="0" borderId="46" xfId="0" applyFont="1" applyBorder="1"/>
    <xf numFmtId="166" fontId="6" fillId="0" borderId="45" xfId="0" applyNumberFormat="1" applyFont="1" applyBorder="1"/>
    <xf numFmtId="0" fontId="326" fillId="0" borderId="30" xfId="0" applyFont="1" applyBorder="1"/>
    <xf numFmtId="0" fontId="13" fillId="0" borderId="0" xfId="0" applyFont="1" applyBorder="1" applyAlignment="1">
      <alignment horizontal="center"/>
    </xf>
    <xf numFmtId="0" fontId="6" fillId="0" borderId="30" xfId="0" applyFont="1" applyBorder="1" applyAlignment="1">
      <alignment horizontal="center"/>
    </xf>
    <xf numFmtId="0" fontId="6" fillId="0" borderId="30" xfId="0" applyNumberFormat="1" applyFont="1" applyBorder="1" applyAlignment="1">
      <alignment horizontal="center"/>
    </xf>
    <xf numFmtId="0" fontId="6" fillId="0" borderId="54" xfId="0" applyFont="1" applyBorder="1" applyAlignment="1">
      <alignment horizontal="left"/>
    </xf>
    <xf numFmtId="0" fontId="14" fillId="0" borderId="54" xfId="0" applyFont="1" applyBorder="1" applyAlignment="1">
      <alignment horizontal="center"/>
    </xf>
    <xf numFmtId="166" fontId="107" fillId="0" borderId="22" xfId="0" applyNumberFormat="1" applyFont="1" applyBorder="1"/>
    <xf numFmtId="0" fontId="6" fillId="0" borderId="54" xfId="0" applyFont="1" applyBorder="1" applyAlignment="1">
      <alignment horizontal="center"/>
    </xf>
    <xf numFmtId="166" fontId="6" fillId="0" borderId="22" xfId="0" applyNumberFormat="1" applyFont="1" applyBorder="1"/>
    <xf numFmtId="0" fontId="8" fillId="0" borderId="30" xfId="0" applyFont="1" applyBorder="1" applyAlignment="1">
      <alignment horizontal="center"/>
    </xf>
    <xf numFmtId="0" fontId="8" fillId="0" borderId="54" xfId="0" applyFont="1" applyBorder="1" applyAlignment="1">
      <alignment horizontal="center"/>
    </xf>
    <xf numFmtId="166" fontId="8" fillId="0" borderId="22" xfId="0" applyNumberFormat="1" applyFont="1" applyBorder="1"/>
    <xf numFmtId="0" fontId="7" fillId="0" borderId="29" xfId="0" applyFont="1" applyBorder="1" applyAlignment="1">
      <alignment horizontal="center"/>
    </xf>
    <xf numFmtId="0" fontId="7" fillId="0" borderId="29" xfId="0" applyFont="1" applyBorder="1"/>
    <xf numFmtId="4" fontId="7" fillId="0" borderId="29" xfId="0" applyNumberFormat="1" applyFont="1" applyBorder="1" applyAlignment="1">
      <alignment horizontal="center"/>
    </xf>
    <xf numFmtId="0" fontId="7" fillId="0" borderId="30" xfId="0" applyFont="1" applyBorder="1" applyAlignment="1">
      <alignment horizontal="center"/>
    </xf>
    <xf numFmtId="0" fontId="7" fillId="0" borderId="22" xfId="0" applyFont="1" applyBorder="1" applyAlignment="1">
      <alignment horizontal="center"/>
    </xf>
    <xf numFmtId="0" fontId="3" fillId="0" borderId="29" xfId="0" applyFont="1" applyBorder="1" applyAlignment="1">
      <alignment horizontal="center"/>
    </xf>
    <xf numFmtId="4" fontId="0" fillId="0" borderId="22" xfId="0" applyNumberFormat="1" applyBorder="1" applyAlignment="1">
      <alignment horizontal="center"/>
    </xf>
    <xf numFmtId="0" fontId="7" fillId="0" borderId="30" xfId="0" applyNumberFormat="1" applyFont="1" applyBorder="1" applyAlignment="1">
      <alignment horizontal="center"/>
    </xf>
    <xf numFmtId="166" fontId="0" fillId="0" borderId="22" xfId="0" applyNumberFormat="1" applyBorder="1"/>
    <xf numFmtId="166" fontId="0" fillId="0" borderId="18" xfId="0" applyNumberFormat="1" applyBorder="1"/>
    <xf numFmtId="166" fontId="0" fillId="0" borderId="30" xfId="0" applyNumberFormat="1" applyBorder="1"/>
    <xf numFmtId="166" fontId="0" fillId="0" borderId="0" xfId="0" applyNumberFormat="1" applyBorder="1"/>
    <xf numFmtId="0" fontId="7" fillId="0" borderId="54" xfId="0" applyFont="1" applyBorder="1" applyAlignment="1">
      <alignment horizontal="left"/>
    </xf>
    <xf numFmtId="0" fontId="8" fillId="0" borderId="54" xfId="0" applyFont="1" applyBorder="1"/>
    <xf numFmtId="0" fontId="27" fillId="7" borderId="121" xfId="0" applyFont="1" applyFill="1" applyBorder="1"/>
    <xf numFmtId="0" fontId="27" fillId="7" borderId="122" xfId="0" applyFont="1" applyFill="1" applyBorder="1"/>
    <xf numFmtId="0" fontId="27" fillId="7" borderId="122" xfId="0" applyFont="1" applyFill="1" applyBorder="1" applyAlignment="1">
      <alignment horizontal="center"/>
    </xf>
    <xf numFmtId="4" fontId="27" fillId="7" borderId="122" xfId="0" applyNumberFormat="1" applyFont="1" applyFill="1" applyBorder="1" applyAlignment="1">
      <alignment horizontal="center"/>
    </xf>
    <xf numFmtId="0" fontId="27" fillId="7" borderId="123" xfId="0" applyFont="1" applyFill="1" applyBorder="1"/>
    <xf numFmtId="0" fontId="27" fillId="7" borderId="124" xfId="0" applyFont="1" applyFill="1" applyBorder="1"/>
    <xf numFmtId="0" fontId="27" fillId="7" borderId="0" xfId="0" applyFont="1" applyFill="1" applyBorder="1"/>
    <xf numFmtId="4" fontId="27" fillId="7" borderId="0" xfId="0" applyNumberFormat="1" applyFont="1" applyFill="1" applyBorder="1" applyAlignment="1">
      <alignment horizontal="center"/>
    </xf>
    <xf numFmtId="0" fontId="27" fillId="7" borderId="125" xfId="0" applyFont="1" applyFill="1" applyBorder="1"/>
    <xf numFmtId="0" fontId="27" fillId="7" borderId="0" xfId="0" applyFont="1" applyFill="1" applyBorder="1" applyAlignment="1">
      <alignment horizontal="center"/>
    </xf>
    <xf numFmtId="0" fontId="60" fillId="7" borderId="125" xfId="0" applyFont="1" applyFill="1" applyBorder="1"/>
    <xf numFmtId="0" fontId="60" fillId="7" borderId="124" xfId="0" applyFont="1" applyFill="1" applyBorder="1"/>
    <xf numFmtId="0" fontId="27" fillId="7" borderId="126" xfId="0" applyFont="1" applyFill="1" applyBorder="1"/>
    <xf numFmtId="0" fontId="27" fillId="7" borderId="127" xfId="0" applyFont="1" applyFill="1" applyBorder="1"/>
    <xf numFmtId="0" fontId="27" fillId="7" borderId="127" xfId="0" applyFont="1" applyFill="1" applyBorder="1" applyAlignment="1">
      <alignment horizontal="center"/>
    </xf>
    <xf numFmtId="4" fontId="27" fillId="7" borderId="127" xfId="0" applyNumberFormat="1" applyFont="1" applyFill="1" applyBorder="1" applyAlignment="1">
      <alignment horizontal="center"/>
    </xf>
    <xf numFmtId="0" fontId="27" fillId="7" borderId="128" xfId="0" applyFont="1" applyFill="1" applyBorder="1"/>
    <xf numFmtId="0" fontId="138" fillId="7" borderId="0" xfId="0" applyFont="1" applyFill="1" applyBorder="1"/>
    <xf numFmtId="0" fontId="327" fillId="7" borderId="0" xfId="0" applyFont="1" applyFill="1" applyBorder="1" applyAlignment="1">
      <alignment horizontal="left" indent="2"/>
    </xf>
    <xf numFmtId="4" fontId="138" fillId="7" borderId="0" xfId="0" applyNumberFormat="1" applyFont="1" applyFill="1" applyBorder="1" applyAlignment="1">
      <alignment horizontal="center"/>
    </xf>
    <xf numFmtId="0" fontId="138" fillId="7" borderId="0" xfId="0" applyFont="1" applyFill="1" applyBorder="1" applyAlignment="1">
      <alignment horizontal="center"/>
    </xf>
    <xf numFmtId="14" fontId="328" fillId="7" borderId="0" xfId="0" applyNumberFormat="1" applyFont="1" applyFill="1" applyBorder="1" applyAlignment="1">
      <alignment horizontal="center" vertical="center"/>
    </xf>
    <xf numFmtId="0" fontId="138" fillId="7" borderId="0" xfId="0" applyFont="1" applyFill="1" applyBorder="1" applyAlignment="1">
      <alignment horizontal="left" indent="1"/>
    </xf>
    <xf numFmtId="0" fontId="329" fillId="7" borderId="1" xfId="0" applyFont="1" applyFill="1" applyBorder="1" applyAlignment="1">
      <alignment horizontal="left" indent="1"/>
    </xf>
    <xf numFmtId="0" fontId="138" fillId="7" borderId="22" xfId="0" applyFont="1" applyFill="1" applyBorder="1" applyAlignment="1">
      <alignment horizontal="center"/>
    </xf>
    <xf numFmtId="0" fontId="329" fillId="7" borderId="1" xfId="0" applyFont="1" applyFill="1" applyBorder="1" applyAlignment="1">
      <alignment horizontal="center"/>
    </xf>
    <xf numFmtId="4" fontId="329" fillId="7" borderId="1" xfId="0" applyNumberFormat="1" applyFont="1" applyFill="1" applyBorder="1" applyAlignment="1">
      <alignment horizontal="center"/>
    </xf>
    <xf numFmtId="165" fontId="138" fillId="7" borderId="0" xfId="0" applyNumberFormat="1" applyFont="1" applyFill="1" applyBorder="1"/>
    <xf numFmtId="165" fontId="330" fillId="7" borderId="0" xfId="0" applyNumberFormat="1" applyFont="1" applyFill="1" applyBorder="1"/>
    <xf numFmtId="165" fontId="331" fillId="7" borderId="30" xfId="0" applyNumberFormat="1" applyFont="1" applyFill="1" applyBorder="1" applyAlignment="1">
      <alignment horizontal="left" indent="1"/>
    </xf>
    <xf numFmtId="4" fontId="138" fillId="7" borderId="54" xfId="0" applyNumberFormat="1" applyFont="1" applyFill="1" applyBorder="1" applyAlignment="1">
      <alignment horizontal="left" indent="1"/>
    </xf>
    <xf numFmtId="4" fontId="138" fillId="7" borderId="22" xfId="0" applyNumberFormat="1" applyFont="1" applyFill="1" applyBorder="1" applyAlignment="1">
      <alignment horizontal="left" indent="1"/>
    </xf>
    <xf numFmtId="165" fontId="330" fillId="7" borderId="22" xfId="0" applyNumberFormat="1" applyFont="1" applyFill="1" applyBorder="1" applyAlignment="1">
      <alignment horizontal="center"/>
    </xf>
    <xf numFmtId="4" fontId="332" fillId="7" borderId="0" xfId="0" applyNumberFormat="1" applyFont="1" applyFill="1" applyBorder="1" applyAlignment="1">
      <alignment horizontal="left" indent="3"/>
    </xf>
    <xf numFmtId="198" fontId="332" fillId="7" borderId="1" xfId="7" applyNumberFormat="1" applyFont="1" applyFill="1" applyBorder="1" applyAlignment="1">
      <alignment horizontal="center"/>
    </xf>
    <xf numFmtId="0" fontId="3" fillId="0" borderId="0" xfId="0" applyFont="1" applyAlignment="1">
      <alignment horizontal="center"/>
    </xf>
    <xf numFmtId="0" fontId="69" fillId="0" borderId="8" xfId="0" applyFont="1" applyFill="1" applyBorder="1" applyAlignment="1">
      <alignment horizontal="center" vertical="center"/>
    </xf>
    <xf numFmtId="0" fontId="69" fillId="0" borderId="58" xfId="0" applyFont="1" applyFill="1" applyBorder="1" applyAlignment="1">
      <alignment horizontal="center" vertical="center"/>
    </xf>
    <xf numFmtId="14" fontId="236" fillId="0" borderId="1" xfId="5" applyNumberFormat="1" applyFont="1" applyFill="1" applyBorder="1" applyAlignment="1">
      <alignment horizontal="center" vertical="center"/>
    </xf>
    <xf numFmtId="0" fontId="235" fillId="0" borderId="19" xfId="0" applyFont="1" applyFill="1" applyBorder="1" applyAlignment="1">
      <alignment horizontal="center" vertical="center"/>
    </xf>
    <xf numFmtId="14" fontId="236" fillId="0" borderId="19" xfId="5" applyNumberFormat="1" applyFont="1" applyFill="1" applyBorder="1" applyAlignment="1">
      <alignment horizontal="center" vertical="center"/>
    </xf>
    <xf numFmtId="0" fontId="234" fillId="0" borderId="19" xfId="0" applyFont="1" applyFill="1" applyBorder="1" applyAlignment="1">
      <alignment horizontal="center" vertical="center"/>
    </xf>
    <xf numFmtId="0" fontId="238" fillId="0" borderId="1" xfId="0" applyFont="1" applyFill="1" applyBorder="1" applyAlignment="1">
      <alignment horizontal="center" vertical="center"/>
    </xf>
    <xf numFmtId="49" fontId="51" fillId="0" borderId="27" xfId="0" applyNumberFormat="1" applyFont="1" applyBorder="1" applyAlignment="1">
      <alignment horizontal="center"/>
    </xf>
    <xf numFmtId="49" fontId="51" fillId="0" borderId="129" xfId="0" applyNumberFormat="1" applyFont="1" applyBorder="1" applyAlignment="1">
      <alignment horizontal="center"/>
    </xf>
    <xf numFmtId="49" fontId="5" fillId="0" borderId="130" xfId="0" applyNumberFormat="1" applyFont="1" applyBorder="1" applyAlignment="1">
      <alignment horizontal="center"/>
    </xf>
    <xf numFmtId="187" fontId="252" fillId="0" borderId="131" xfId="0" applyNumberFormat="1" applyFont="1" applyFill="1" applyBorder="1" applyAlignment="1">
      <alignment horizontal="center"/>
    </xf>
    <xf numFmtId="0" fontId="0" fillId="0" borderId="131" xfId="0" applyBorder="1"/>
    <xf numFmtId="0" fontId="0" fillId="0" borderId="132" xfId="0" applyBorder="1" applyAlignment="1">
      <alignment horizontal="center"/>
    </xf>
    <xf numFmtId="15" fontId="5" fillId="0" borderId="0" xfId="0" applyNumberFormat="1" applyFont="1" applyAlignment="1">
      <alignment horizontal="center"/>
    </xf>
    <xf numFmtId="0" fontId="6" fillId="0" borderId="0" xfId="0" applyFont="1" applyAlignment="1">
      <alignment horizontal="center"/>
    </xf>
    <xf numFmtId="0" fontId="22" fillId="0" borderId="54" xfId="0" applyFont="1" applyBorder="1" applyAlignment="1">
      <alignment horizontal="center"/>
    </xf>
    <xf numFmtId="0" fontId="22" fillId="0" borderId="54" xfId="0" applyFont="1" applyBorder="1"/>
    <xf numFmtId="0" fontId="5" fillId="0" borderId="54" xfId="0" applyFont="1" applyBorder="1" applyAlignment="1">
      <alignment horizontal="left"/>
    </xf>
    <xf numFmtId="0" fontId="5" fillId="0" borderId="54" xfId="0" applyFont="1" applyBorder="1"/>
    <xf numFmtId="0" fontId="7" fillId="0" borderId="26" xfId="0" applyFont="1" applyBorder="1" applyAlignment="1">
      <alignment horizontal="center"/>
    </xf>
    <xf numFmtId="0" fontId="7" fillId="0" borderId="26" xfId="0" applyFont="1" applyBorder="1"/>
    <xf numFmtId="0" fontId="3" fillId="0" borderId="26" xfId="0" applyFont="1" applyBorder="1" applyAlignment="1">
      <alignment horizontal="center"/>
    </xf>
    <xf numFmtId="4" fontId="7" fillId="0" borderId="26" xfId="0" applyNumberFormat="1" applyFont="1" applyBorder="1" applyAlignment="1">
      <alignment horizontal="center"/>
    </xf>
    <xf numFmtId="166" fontId="0" fillId="0" borderId="0" xfId="0" applyNumberFormat="1" applyAlignment="1">
      <alignment horizontal="center"/>
    </xf>
    <xf numFmtId="2" fontId="0" fillId="0" borderId="0" xfId="0" applyNumberFormat="1" applyAlignment="1">
      <alignment horizontal="right"/>
    </xf>
    <xf numFmtId="0" fontId="339" fillId="0" borderId="25" xfId="0" applyFont="1" applyFill="1" applyBorder="1" applyAlignment="1">
      <alignment horizontal="center" vertical="center" wrapText="1" shrinkToFit="1"/>
    </xf>
    <xf numFmtId="169" fontId="52" fillId="0" borderId="84" xfId="0" applyNumberFormat="1" applyFont="1" applyFill="1" applyBorder="1" applyAlignment="1">
      <alignment horizontal="center"/>
    </xf>
    <xf numFmtId="167" fontId="126" fillId="0" borderId="1" xfId="0" applyNumberFormat="1" applyFont="1" applyBorder="1" applyAlignment="1">
      <alignment horizontal="center" vertical="center"/>
    </xf>
    <xf numFmtId="167" fontId="126" fillId="0" borderId="5" xfId="0" applyNumberFormat="1" applyFont="1" applyBorder="1" applyAlignment="1">
      <alignment horizontal="center" vertical="center"/>
    </xf>
    <xf numFmtId="0" fontId="10" fillId="0" borderId="35" xfId="0" applyFont="1" applyBorder="1" applyAlignment="1">
      <alignment horizontal="left"/>
    </xf>
    <xf numFmtId="14" fontId="0" fillId="0" borderId="36" xfId="0" applyNumberFormat="1" applyBorder="1" applyAlignment="1">
      <alignment horizontal="center"/>
    </xf>
    <xf numFmtId="196" fontId="4" fillId="0" borderId="37" xfId="0" applyNumberFormat="1" applyFont="1" applyBorder="1"/>
    <xf numFmtId="14" fontId="0" fillId="0" borderId="35" xfId="0" applyNumberFormat="1" applyBorder="1"/>
    <xf numFmtId="165" fontId="13" fillId="0" borderId="0" xfId="0" applyNumberFormat="1" applyFont="1" applyAlignment="1">
      <alignment horizontal="center"/>
    </xf>
    <xf numFmtId="165" fontId="26" fillId="0" borderId="0" xfId="0" applyNumberFormat="1" applyFont="1" applyBorder="1" applyAlignment="1">
      <alignment horizontal="left"/>
    </xf>
    <xf numFmtId="165" fontId="26" fillId="0" borderId="0" xfId="0" applyNumberFormat="1" applyFont="1" applyAlignment="1">
      <alignment horizontal="center"/>
    </xf>
    <xf numFmtId="199" fontId="0" fillId="0" borderId="1" xfId="0" applyNumberFormat="1" applyBorder="1" applyAlignment="1">
      <alignment horizontal="center"/>
    </xf>
    <xf numFmtId="49" fontId="22" fillId="0" borderId="1" xfId="0" applyNumberFormat="1" applyFont="1" applyBorder="1" applyAlignment="1">
      <alignment horizontal="center"/>
    </xf>
    <xf numFmtId="0" fontId="0" fillId="0" borderId="30" xfId="0" applyBorder="1" applyAlignment="1">
      <alignment horizontal="left"/>
    </xf>
    <xf numFmtId="199" fontId="0" fillId="0" borderId="19" xfId="0" applyNumberFormat="1" applyBorder="1" applyAlignment="1">
      <alignment horizontal="center"/>
    </xf>
    <xf numFmtId="49" fontId="22" fillId="0" borderId="19" xfId="0" applyNumberFormat="1" applyFont="1" applyBorder="1" applyAlignment="1">
      <alignment horizontal="center"/>
    </xf>
    <xf numFmtId="0" fontId="7" fillId="0" borderId="83" xfId="0" applyFont="1" applyBorder="1"/>
    <xf numFmtId="0" fontId="7" fillId="0" borderId="84" xfId="0" applyFont="1" applyBorder="1"/>
    <xf numFmtId="0" fontId="7" fillId="0" borderId="102" xfId="0" applyFont="1" applyBorder="1" applyAlignment="1">
      <alignment horizontal="center"/>
    </xf>
    <xf numFmtId="0" fontId="155" fillId="0" borderId="36" xfId="0" applyFont="1" applyBorder="1" applyAlignment="1">
      <alignment horizontal="center"/>
    </xf>
    <xf numFmtId="166" fontId="7" fillId="0" borderId="36" xfId="0" applyNumberFormat="1" applyFont="1" applyBorder="1" applyAlignment="1">
      <alignment horizontal="center"/>
    </xf>
    <xf numFmtId="0" fontId="13" fillId="0" borderId="37" xfId="0" applyFont="1" applyBorder="1"/>
    <xf numFmtId="0" fontId="155" fillId="0" borderId="29" xfId="0" applyFont="1" applyBorder="1" applyAlignment="1">
      <alignment horizontal="center"/>
    </xf>
    <xf numFmtId="166" fontId="7" fillId="0" borderId="29" xfId="0" applyNumberFormat="1" applyFont="1" applyBorder="1" applyAlignment="1">
      <alignment horizontal="center"/>
    </xf>
    <xf numFmtId="0" fontId="13" fillId="0" borderId="18" xfId="0" applyFont="1" applyBorder="1"/>
    <xf numFmtId="0" fontId="320" fillId="0" borderId="8" xfId="0" applyFont="1" applyFill="1" applyBorder="1" applyAlignment="1">
      <alignment horizontal="center"/>
    </xf>
    <xf numFmtId="0" fontId="235" fillId="0" borderId="22" xfId="0" applyFont="1" applyFill="1" applyBorder="1" applyAlignment="1">
      <alignment horizontal="center"/>
    </xf>
    <xf numFmtId="0" fontId="321" fillId="0" borderId="30" xfId="0" applyFont="1" applyFill="1" applyBorder="1" applyAlignment="1">
      <alignment horizontal="left" vertical="center" indent="1"/>
    </xf>
    <xf numFmtId="0" fontId="236" fillId="0" borderId="8" xfId="0" applyFont="1" applyFill="1" applyBorder="1" applyAlignment="1">
      <alignment horizontal="center" vertical="center"/>
    </xf>
    <xf numFmtId="0" fontId="323" fillId="0" borderId="22" xfId="0" applyFont="1" applyFill="1" applyBorder="1" applyAlignment="1">
      <alignment horizontal="center" vertical="center"/>
    </xf>
    <xf numFmtId="0" fontId="237" fillId="0" borderId="9" xfId="0" applyFont="1" applyFill="1" applyBorder="1" applyAlignment="1">
      <alignment horizontal="center" vertical="center"/>
    </xf>
    <xf numFmtId="0" fontId="339" fillId="0" borderId="87" xfId="0" applyFont="1" applyFill="1" applyBorder="1" applyAlignment="1">
      <alignment horizontal="center" vertical="center" wrapText="1"/>
    </xf>
    <xf numFmtId="0" fontId="339" fillId="0" borderId="87" xfId="0" applyNumberFormat="1" applyFont="1" applyFill="1" applyBorder="1" applyAlignment="1">
      <alignment horizontal="center" vertical="center" wrapText="1"/>
    </xf>
    <xf numFmtId="0" fontId="339" fillId="0" borderId="0" xfId="0" applyNumberFormat="1" applyFont="1" applyFill="1" applyBorder="1" applyAlignment="1">
      <alignment horizontal="center" vertical="center" wrapText="1"/>
    </xf>
    <xf numFmtId="0" fontId="4" fillId="0" borderId="133" xfId="0" applyFont="1" applyBorder="1"/>
    <xf numFmtId="0" fontId="10" fillId="0" borderId="0" xfId="0" applyFont="1" applyAlignment="1">
      <alignment vertical="center"/>
    </xf>
    <xf numFmtId="200" fontId="10" fillId="0" borderId="0" xfId="5" applyNumberFormat="1" applyFont="1" applyAlignment="1">
      <alignment vertical="center"/>
    </xf>
    <xf numFmtId="0" fontId="3" fillId="0" borderId="0" xfId="0" applyFont="1" applyAlignment="1">
      <alignment vertical="center"/>
    </xf>
    <xf numFmtId="166" fontId="3" fillId="0" borderId="0" xfId="5" applyNumberFormat="1" applyFont="1" applyAlignment="1">
      <alignment vertical="center"/>
    </xf>
    <xf numFmtId="166" fontId="52" fillId="0" borderId="0" xfId="5" applyFont="1" applyAlignment="1">
      <alignment vertical="center"/>
    </xf>
    <xf numFmtId="166" fontId="4" fillId="0" borderId="0" xfId="5" applyFont="1" applyAlignment="1">
      <alignment vertical="center"/>
    </xf>
    <xf numFmtId="0" fontId="4" fillId="0" borderId="134" xfId="0" applyFont="1" applyBorder="1"/>
    <xf numFmtId="0" fontId="4" fillId="0" borderId="135" xfId="0" applyFont="1" applyBorder="1"/>
    <xf numFmtId="186" fontId="181" fillId="0" borderId="1" xfId="5" applyNumberFormat="1" applyFont="1" applyFill="1" applyBorder="1" applyAlignment="1">
      <alignment horizontal="center" vertical="center"/>
    </xf>
    <xf numFmtId="15" fontId="6" fillId="0" borderId="0" xfId="0" applyNumberFormat="1" applyFont="1" applyAlignment="1">
      <alignment horizontal="center"/>
    </xf>
    <xf numFmtId="0" fontId="341" fillId="0" borderId="30" xfId="0" applyFont="1" applyBorder="1"/>
    <xf numFmtId="0" fontId="344" fillId="0" borderId="22" xfId="0" applyFont="1" applyBorder="1" applyAlignment="1">
      <alignment horizontal="center"/>
    </xf>
    <xf numFmtId="0" fontId="344" fillId="0" borderId="22" xfId="0" applyFont="1" applyBorder="1"/>
    <xf numFmtId="4" fontId="344" fillId="0" borderId="22" xfId="0" applyNumberFormat="1" applyFont="1" applyBorder="1" applyAlignment="1">
      <alignment horizontal="center"/>
    </xf>
    <xf numFmtId="0" fontId="344" fillId="0" borderId="0" xfId="0" applyFont="1"/>
    <xf numFmtId="0" fontId="345" fillId="0" borderId="26" xfId="0" applyFont="1" applyBorder="1" applyAlignment="1">
      <alignment horizontal="center"/>
    </xf>
    <xf numFmtId="0" fontId="345" fillId="0" borderId="26" xfId="0" applyFont="1" applyBorder="1"/>
    <xf numFmtId="0" fontId="346" fillId="0" borderId="26" xfId="0" applyFont="1" applyBorder="1" applyAlignment="1">
      <alignment horizontal="center"/>
    </xf>
    <xf numFmtId="4" fontId="345" fillId="0" borderId="26" xfId="0" applyNumberFormat="1" applyFont="1" applyBorder="1" applyAlignment="1">
      <alignment horizontal="center"/>
    </xf>
    <xf numFmtId="15" fontId="347" fillId="0" borderId="0" xfId="0" applyNumberFormat="1" applyFont="1" applyAlignment="1">
      <alignment horizontal="center"/>
    </xf>
    <xf numFmtId="0" fontId="347" fillId="0" borderId="0" xfId="0" applyFont="1" applyAlignment="1">
      <alignment horizontal="center"/>
    </xf>
    <xf numFmtId="0" fontId="347" fillId="0" borderId="0" xfId="0" applyFont="1"/>
    <xf numFmtId="166" fontId="344" fillId="0" borderId="0" xfId="0" applyNumberFormat="1" applyFont="1"/>
    <xf numFmtId="0" fontId="345" fillId="0" borderId="54" xfId="0" applyFont="1" applyBorder="1" applyAlignment="1">
      <alignment horizontal="left"/>
    </xf>
    <xf numFmtId="0" fontId="347" fillId="0" borderId="54" xfId="0" applyFont="1" applyBorder="1"/>
    <xf numFmtId="15" fontId="348" fillId="0" borderId="30" xfId="0" applyNumberFormat="1" applyFont="1" applyBorder="1" applyAlignment="1">
      <alignment horizontal="center"/>
    </xf>
    <xf numFmtId="166" fontId="342" fillId="0" borderId="22" xfId="0" applyNumberFormat="1" applyFont="1" applyBorder="1"/>
    <xf numFmtId="2" fontId="13" fillId="0" borderId="0" xfId="0" applyNumberFormat="1" applyFont="1"/>
    <xf numFmtId="2" fontId="13" fillId="0" borderId="0" xfId="0" applyNumberFormat="1" applyFont="1" applyBorder="1" applyAlignment="1">
      <alignment horizontal="center"/>
    </xf>
    <xf numFmtId="0" fontId="340" fillId="0" borderId="1" xfId="0" applyFont="1" applyBorder="1" applyAlignment="1">
      <alignment horizontal="left" vertical="center"/>
    </xf>
    <xf numFmtId="0" fontId="190" fillId="7" borderId="106" xfId="0" applyFont="1" applyFill="1" applyBorder="1" applyAlignment="1">
      <alignment horizontal="center" vertical="center"/>
    </xf>
    <xf numFmtId="0" fontId="5" fillId="7" borderId="36" xfId="0" applyFont="1" applyFill="1" applyBorder="1"/>
    <xf numFmtId="0" fontId="115" fillId="7" borderId="35" xfId="0" applyFont="1" applyFill="1" applyBorder="1" applyAlignment="1">
      <alignment horizontal="left"/>
    </xf>
    <xf numFmtId="0" fontId="0" fillId="7" borderId="54" xfId="0" applyFill="1" applyBorder="1" applyAlignment="1">
      <alignment horizontal="left"/>
    </xf>
    <xf numFmtId="0" fontId="340" fillId="0" borderId="54" xfId="0" applyFont="1" applyBorder="1" applyAlignment="1">
      <alignment horizontal="left" vertical="center"/>
    </xf>
    <xf numFmtId="0" fontId="350" fillId="0" borderId="104" xfId="0" applyFont="1" applyBorder="1" applyAlignment="1">
      <alignment horizontal="center" vertical="center"/>
    </xf>
    <xf numFmtId="0" fontId="350" fillId="0" borderId="104" xfId="0" applyFont="1" applyFill="1" applyBorder="1" applyAlignment="1">
      <alignment horizontal="center" vertical="center"/>
    </xf>
    <xf numFmtId="2" fontId="0" fillId="0" borderId="0" xfId="0" applyNumberFormat="1"/>
    <xf numFmtId="2" fontId="7" fillId="0" borderId="0" xfId="0" applyNumberFormat="1" applyFont="1"/>
    <xf numFmtId="188" fontId="0" fillId="0" borderId="0" xfId="0" applyNumberFormat="1" applyBorder="1" applyAlignment="1">
      <alignment horizontal="left"/>
    </xf>
    <xf numFmtId="0" fontId="347" fillId="0" borderId="0" xfId="0" applyFont="1" applyBorder="1" applyAlignment="1">
      <alignment horizontal="center"/>
    </xf>
    <xf numFmtId="0" fontId="347" fillId="0" borderId="0" xfId="0" applyFont="1" applyBorder="1"/>
    <xf numFmtId="15" fontId="343" fillId="0" borderId="0" xfId="0" applyNumberFormat="1" applyFont="1" applyAlignment="1">
      <alignment horizontal="center"/>
    </xf>
    <xf numFmtId="0" fontId="343" fillId="0" borderId="0" xfId="0" applyFont="1" applyAlignment="1">
      <alignment horizontal="center"/>
    </xf>
    <xf numFmtId="0" fontId="142" fillId="0" borderId="0" xfId="0" applyFont="1"/>
    <xf numFmtId="166" fontId="347" fillId="0" borderId="0" xfId="0" applyNumberFormat="1" applyFont="1"/>
    <xf numFmtId="15" fontId="347" fillId="0" borderId="0" xfId="0" applyNumberFormat="1" applyFont="1" applyBorder="1" applyAlignment="1">
      <alignment horizontal="center"/>
    </xf>
    <xf numFmtId="0" fontId="351" fillId="0" borderId="0" xfId="0" applyFont="1"/>
    <xf numFmtId="15" fontId="342" fillId="0" borderId="0" xfId="0" applyNumberFormat="1" applyFont="1" applyAlignment="1">
      <alignment horizontal="center"/>
    </xf>
    <xf numFmtId="0" fontId="342" fillId="0" borderId="0" xfId="0" applyFont="1" applyAlignment="1">
      <alignment horizontal="center"/>
    </xf>
    <xf numFmtId="0" fontId="342" fillId="0" borderId="0" xfId="0" applyNumberFormat="1" applyFont="1" applyAlignment="1">
      <alignment horizontal="center"/>
    </xf>
    <xf numFmtId="0" fontId="342" fillId="0" borderId="0" xfId="0" applyFont="1"/>
    <xf numFmtId="166" fontId="342" fillId="0" borderId="0" xfId="0" applyNumberFormat="1" applyFont="1"/>
    <xf numFmtId="15" fontId="342" fillId="0" borderId="0" xfId="0" applyNumberFormat="1" applyFont="1" applyBorder="1" applyAlignment="1">
      <alignment horizontal="center"/>
    </xf>
    <xf numFmtId="0" fontId="342" fillId="0" borderId="0" xfId="0" applyFont="1" applyBorder="1"/>
    <xf numFmtId="49" fontId="22" fillId="0" borderId="0" xfId="0" applyNumberFormat="1" applyFont="1" applyBorder="1" applyAlignment="1">
      <alignment horizontal="center"/>
    </xf>
    <xf numFmtId="199" fontId="0" fillId="0" borderId="0" xfId="0" applyNumberFormat="1" applyBorder="1" applyAlignment="1">
      <alignment horizontal="center"/>
    </xf>
    <xf numFmtId="199" fontId="0" fillId="0" borderId="19" xfId="0" applyNumberFormat="1" applyBorder="1" applyAlignment="1">
      <alignment horizontal="center" vertical="center"/>
    </xf>
    <xf numFmtId="49" fontId="22" fillId="0" borderId="19" xfId="0" applyNumberFormat="1" applyFont="1" applyBorder="1" applyAlignment="1">
      <alignment horizontal="center" vertical="center"/>
    </xf>
    <xf numFmtId="166" fontId="343" fillId="0" borderId="0" xfId="0" applyNumberFormat="1" applyFont="1"/>
    <xf numFmtId="0" fontId="352" fillId="0" borderId="0" xfId="0" applyFont="1" applyAlignment="1">
      <alignment horizontal="left"/>
    </xf>
    <xf numFmtId="0" fontId="353" fillId="0" borderId="0" xfId="0" applyFont="1" applyAlignment="1">
      <alignment horizontal="center"/>
    </xf>
    <xf numFmtId="166" fontId="353" fillId="0" borderId="0" xfId="0" applyNumberFormat="1" applyFont="1"/>
    <xf numFmtId="166" fontId="354" fillId="0" borderId="0" xfId="0" applyNumberFormat="1" applyFont="1"/>
    <xf numFmtId="0" fontId="352" fillId="0" borderId="0" xfId="0" applyFont="1" applyAlignment="1"/>
    <xf numFmtId="0" fontId="352" fillId="0" borderId="0" xfId="0" applyNumberFormat="1" applyFont="1" applyAlignment="1">
      <alignment horizontal="left"/>
    </xf>
    <xf numFmtId="0" fontId="352" fillId="0" borderId="0" xfId="0" applyFont="1" applyAlignment="1">
      <alignment horizontal="center"/>
    </xf>
    <xf numFmtId="166" fontId="355" fillId="0" borderId="0" xfId="0" applyNumberFormat="1" applyFont="1"/>
    <xf numFmtId="0" fontId="0" fillId="0" borderId="62" xfId="0" applyBorder="1" applyAlignment="1">
      <alignment horizontal="center"/>
    </xf>
    <xf numFmtId="0" fontId="179" fillId="0" borderId="73" xfId="0" applyFont="1" applyBorder="1" applyAlignment="1">
      <alignment horizontal="center" vertical="center"/>
    </xf>
    <xf numFmtId="0" fontId="179" fillId="0" borderId="60" xfId="0" applyFont="1" applyBorder="1" applyAlignment="1">
      <alignment horizontal="center" vertical="center"/>
    </xf>
    <xf numFmtId="0" fontId="0" fillId="0" borderId="73" xfId="0" applyBorder="1"/>
    <xf numFmtId="0" fontId="0" fillId="0" borderId="52" xfId="0" applyBorder="1"/>
    <xf numFmtId="0" fontId="0" fillId="0" borderId="60" xfId="0" applyBorder="1"/>
    <xf numFmtId="0" fontId="7" fillId="0" borderId="107" xfId="0" applyFont="1" applyBorder="1"/>
    <xf numFmtId="169" fontId="279" fillId="7" borderId="107" xfId="0" applyNumberFormat="1" applyFont="1" applyFill="1" applyBorder="1" applyAlignment="1">
      <alignment horizontal="center" vertical="center" wrapText="1" shrinkToFit="1"/>
    </xf>
    <xf numFmtId="0" fontId="7" fillId="0" borderId="107" xfId="0" applyFont="1" applyBorder="1" applyAlignment="1">
      <alignment horizontal="center"/>
    </xf>
    <xf numFmtId="0" fontId="10" fillId="0" borderId="0" xfId="0" applyFont="1" applyFill="1" applyBorder="1" applyAlignment="1"/>
    <xf numFmtId="0" fontId="356" fillId="0" borderId="0" xfId="0" applyFont="1" applyFill="1" applyBorder="1" applyAlignment="1"/>
    <xf numFmtId="0" fontId="101" fillId="0" borderId="0" xfId="4" applyFont="1" applyFill="1" applyBorder="1" applyAlignment="1" applyProtection="1"/>
    <xf numFmtId="0" fontId="186" fillId="0" borderId="0" xfId="0" applyFont="1" applyFill="1" applyBorder="1" applyAlignment="1">
      <alignment horizontal="center" vertical="center"/>
    </xf>
    <xf numFmtId="0" fontId="154" fillId="0" borderId="41" xfId="0" applyFont="1" applyFill="1" applyBorder="1" applyAlignment="1">
      <alignment horizontal="center" vertical="center"/>
    </xf>
    <xf numFmtId="0" fontId="154" fillId="0" borderId="0" xfId="0" applyFont="1" applyFill="1" applyBorder="1" applyAlignment="1">
      <alignment horizontal="center" vertical="center"/>
    </xf>
    <xf numFmtId="0" fontId="10" fillId="0" borderId="41" xfId="0" applyFont="1" applyFill="1" applyBorder="1" applyAlignment="1"/>
    <xf numFmtId="169" fontId="279" fillId="7" borderId="46" xfId="0" applyNumberFormat="1" applyFont="1" applyFill="1" applyBorder="1" applyAlignment="1">
      <alignment horizontal="center" vertical="center" wrapText="1" shrinkToFit="1"/>
    </xf>
    <xf numFmtId="0" fontId="357" fillId="0" borderId="0" xfId="0" applyFont="1" applyBorder="1" applyAlignment="1">
      <alignment horizontal="center" vertical="center"/>
    </xf>
    <xf numFmtId="0" fontId="179" fillId="0" borderId="72" xfId="0" applyFont="1" applyBorder="1" applyAlignment="1">
      <alignment horizontal="center" vertical="center"/>
    </xf>
    <xf numFmtId="0" fontId="7" fillId="0" borderId="48" xfId="0" applyFont="1" applyBorder="1"/>
    <xf numFmtId="0" fontId="7" fillId="0" borderId="41" xfId="0" applyFont="1" applyBorder="1" applyAlignment="1">
      <alignment horizontal="center"/>
    </xf>
    <xf numFmtId="169" fontId="279" fillId="7" borderId="41" xfId="0" applyNumberFormat="1" applyFont="1" applyFill="1" applyBorder="1" applyAlignment="1">
      <alignment horizontal="center" vertical="center" wrapText="1" shrinkToFit="1"/>
    </xf>
    <xf numFmtId="0" fontId="7" fillId="0" borderId="45" xfId="0" applyFont="1" applyBorder="1" applyAlignment="1">
      <alignment horizontal="left" indent="1"/>
    </xf>
    <xf numFmtId="0" fontId="10" fillId="0" borderId="62" xfId="0" applyFont="1" applyBorder="1"/>
    <xf numFmtId="0" fontId="55" fillId="0" borderId="48" xfId="4" applyFont="1" applyFill="1" applyBorder="1" applyAlignment="1" applyProtection="1"/>
    <xf numFmtId="0" fontId="230" fillId="0" borderId="108" xfId="0" applyFont="1" applyBorder="1" applyAlignment="1"/>
    <xf numFmtId="169" fontId="279" fillId="0" borderId="46" xfId="0" applyNumberFormat="1" applyFont="1" applyFill="1" applyBorder="1" applyAlignment="1">
      <alignment horizontal="center" vertical="center" wrapText="1" shrinkToFit="1"/>
    </xf>
    <xf numFmtId="0" fontId="13" fillId="0" borderId="72" xfId="0" applyFont="1" applyFill="1" applyBorder="1" applyAlignment="1">
      <alignment horizontal="center" vertical="center"/>
    </xf>
    <xf numFmtId="0" fontId="10" fillId="0" borderId="73" xfId="0" applyFont="1" applyFill="1" applyBorder="1" applyAlignment="1">
      <alignment horizontal="center" vertical="center"/>
    </xf>
    <xf numFmtId="0" fontId="13" fillId="0" borderId="73" xfId="0" applyFont="1" applyFill="1" applyBorder="1" applyAlignment="1">
      <alignment horizontal="center" vertical="center"/>
    </xf>
    <xf numFmtId="0" fontId="44" fillId="0" borderId="73" xfId="0" applyFont="1" applyFill="1" applyBorder="1" applyAlignment="1">
      <alignment horizontal="center" vertical="center"/>
    </xf>
    <xf numFmtId="0" fontId="0" fillId="0" borderId="73" xfId="0" applyFill="1" applyBorder="1" applyAlignment="1">
      <alignment horizontal="center" vertical="center"/>
    </xf>
    <xf numFmtId="0" fontId="4" fillId="0" borderId="45" xfId="0" applyFont="1" applyBorder="1" applyAlignment="1">
      <alignment horizontal="center" vertical="center"/>
    </xf>
    <xf numFmtId="0" fontId="4" fillId="0" borderId="41" xfId="0" applyFont="1" applyBorder="1" applyAlignment="1">
      <alignment horizontal="center" vertical="center"/>
    </xf>
    <xf numFmtId="0" fontId="4" fillId="0" borderId="46" xfId="0" applyFont="1" applyBorder="1" applyAlignment="1">
      <alignment horizontal="center" vertical="center"/>
    </xf>
    <xf numFmtId="0" fontId="4" fillId="0" borderId="46" xfId="0" applyFont="1" applyFill="1" applyBorder="1" applyAlignment="1">
      <alignment horizontal="center" vertical="center"/>
    </xf>
    <xf numFmtId="0" fontId="221" fillId="0" borderId="72" xfId="0" applyFont="1" applyBorder="1" applyAlignment="1">
      <alignment horizontal="center" vertical="center"/>
    </xf>
    <xf numFmtId="0" fontId="221" fillId="0" borderId="73" xfId="0" applyFont="1" applyBorder="1" applyAlignment="1">
      <alignment horizontal="center" vertical="center"/>
    </xf>
    <xf numFmtId="0" fontId="221" fillId="0" borderId="71" xfId="0" applyFont="1" applyBorder="1" applyAlignment="1">
      <alignment horizontal="center" vertical="center"/>
    </xf>
    <xf numFmtId="0" fontId="357" fillId="0" borderId="29" xfId="0" applyFont="1" applyBorder="1" applyAlignment="1">
      <alignment horizontal="center" vertical="center"/>
    </xf>
    <xf numFmtId="0" fontId="347" fillId="0" borderId="1" xfId="0" applyFont="1" applyBorder="1" applyAlignment="1">
      <alignment horizontal="center"/>
    </xf>
    <xf numFmtId="4" fontId="0" fillId="0" borderId="1" xfId="0" applyNumberFormat="1" applyBorder="1" applyAlignment="1">
      <alignment horizontal="center"/>
    </xf>
    <xf numFmtId="12" fontId="0" fillId="0" borderId="1" xfId="0" applyNumberFormat="1" applyBorder="1" applyAlignment="1">
      <alignment horizontal="center"/>
    </xf>
    <xf numFmtId="3" fontId="0" fillId="0" borderId="1" xfId="0" applyNumberFormat="1" applyBorder="1" applyAlignment="1">
      <alignment horizontal="center"/>
    </xf>
    <xf numFmtId="201" fontId="358" fillId="0" borderId="0" xfId="0" applyNumberFormat="1" applyFont="1"/>
    <xf numFmtId="0" fontId="52" fillId="0" borderId="63" xfId="0" applyFont="1" applyFill="1" applyBorder="1" applyAlignment="1">
      <alignment horizontal="center" vertical="center"/>
    </xf>
    <xf numFmtId="2" fontId="22" fillId="0" borderId="1" xfId="0" applyNumberFormat="1" applyFont="1" applyFill="1" applyBorder="1" applyAlignment="1">
      <alignment horizontal="center" vertical="center"/>
    </xf>
    <xf numFmtId="0" fontId="7" fillId="0" borderId="1" xfId="0" applyFont="1" applyBorder="1"/>
    <xf numFmtId="0" fontId="179" fillId="0" borderId="0" xfId="0" applyFont="1" applyBorder="1" applyAlignment="1">
      <alignment horizontal="center" vertical="center"/>
    </xf>
    <xf numFmtId="0" fontId="360" fillId="0" borderId="62" xfId="0" applyFont="1" applyBorder="1"/>
    <xf numFmtId="0" fontId="361" fillId="0" borderId="0" xfId="0" applyFont="1" applyBorder="1" applyAlignment="1">
      <alignment horizontal="center"/>
    </xf>
    <xf numFmtId="0" fontId="361" fillId="0" borderId="0" xfId="0" applyFont="1" applyFill="1" applyBorder="1" applyAlignment="1">
      <alignment horizontal="center"/>
    </xf>
    <xf numFmtId="0" fontId="4" fillId="0" borderId="71" xfId="0" applyFont="1" applyBorder="1" applyAlignment="1">
      <alignment horizontal="center" vertical="center"/>
    </xf>
    <xf numFmtId="0" fontId="4" fillId="0" borderId="62" xfId="0" applyFont="1" applyBorder="1"/>
    <xf numFmtId="177" fontId="10" fillId="0" borderId="41" xfId="0" applyNumberFormat="1" applyFont="1" applyFill="1" applyBorder="1" applyAlignment="1">
      <alignment horizontal="left"/>
    </xf>
    <xf numFmtId="177" fontId="10" fillId="0" borderId="0" xfId="0" applyNumberFormat="1" applyFont="1" applyFill="1" applyBorder="1" applyAlignment="1">
      <alignment horizontal="left"/>
    </xf>
    <xf numFmtId="177" fontId="256" fillId="0" borderId="0" xfId="0" applyNumberFormat="1" applyFont="1" applyFill="1" applyBorder="1" applyAlignment="1">
      <alignment horizontal="left"/>
    </xf>
    <xf numFmtId="0" fontId="6" fillId="0" borderId="0" xfId="0" applyFont="1"/>
    <xf numFmtId="167" fontId="28" fillId="0" borderId="0" xfId="0" applyNumberFormat="1" applyFont="1" applyBorder="1" applyAlignment="1">
      <alignment horizontal="center"/>
    </xf>
    <xf numFmtId="167" fontId="115" fillId="0" borderId="0" xfId="0" applyNumberFormat="1" applyFont="1" applyBorder="1" applyAlignment="1">
      <alignment horizontal="center"/>
    </xf>
    <xf numFmtId="167" fontId="0" fillId="0" borderId="32" xfId="0" applyNumberFormat="1" applyBorder="1" applyAlignment="1">
      <alignment horizontal="left" indent="1"/>
    </xf>
    <xf numFmtId="167" fontId="28" fillId="0" borderId="32" xfId="0" applyNumberFormat="1" applyFont="1" applyBorder="1" applyAlignment="1">
      <alignment horizontal="center"/>
    </xf>
    <xf numFmtId="2" fontId="28" fillId="0" borderId="19" xfId="0" applyNumberFormat="1" applyFont="1" applyBorder="1" applyAlignment="1">
      <alignment horizontal="center"/>
    </xf>
    <xf numFmtId="202" fontId="28" fillId="0" borderId="19" xfId="0" applyNumberFormat="1" applyFont="1" applyBorder="1" applyAlignment="1">
      <alignment horizontal="center"/>
    </xf>
    <xf numFmtId="2" fontId="28" fillId="0" borderId="1" xfId="0" applyNumberFormat="1" applyFont="1" applyBorder="1" applyAlignment="1">
      <alignment horizontal="center"/>
    </xf>
    <xf numFmtId="202" fontId="28" fillId="0" borderId="1" xfId="0" applyNumberFormat="1" applyFont="1" applyBorder="1" applyAlignment="1">
      <alignment horizontal="center"/>
    </xf>
    <xf numFmtId="0" fontId="0" fillId="0" borderId="30" xfId="0" applyBorder="1" applyAlignment="1">
      <alignment horizontal="right"/>
    </xf>
    <xf numFmtId="0" fontId="3" fillId="0" borderId="1" xfId="0" applyFont="1" applyBorder="1" applyAlignment="1">
      <alignment horizontal="center"/>
    </xf>
    <xf numFmtId="0" fontId="20" fillId="0" borderId="0" xfId="0" applyFont="1"/>
    <xf numFmtId="0" fontId="363" fillId="0" borderId="1" xfId="0" applyFont="1" applyBorder="1" applyAlignment="1">
      <alignment horizontal="center"/>
    </xf>
    <xf numFmtId="167" fontId="0" fillId="0" borderId="19" xfId="0" applyNumberFormat="1" applyFill="1" applyBorder="1" applyAlignment="1">
      <alignment horizontal="left" indent="1"/>
    </xf>
    <xf numFmtId="167" fontId="0" fillId="0" borderId="1" xfId="0" applyNumberFormat="1" applyFill="1" applyBorder="1" applyAlignment="1">
      <alignment horizontal="left" indent="1"/>
    </xf>
    <xf numFmtId="0" fontId="155" fillId="0" borderId="62" xfId="0" applyFont="1" applyBorder="1" applyAlignment="1">
      <alignment horizontal="center"/>
    </xf>
    <xf numFmtId="49" fontId="0" fillId="0" borderId="0" xfId="0" applyNumberFormat="1" applyAlignment="1"/>
    <xf numFmtId="49" fontId="0" fillId="0" borderId="0" xfId="0" applyNumberFormat="1"/>
    <xf numFmtId="49" fontId="4" fillId="0" borderId="0" xfId="0" applyNumberFormat="1" applyFont="1" applyAlignment="1">
      <alignment horizontal="center"/>
    </xf>
    <xf numFmtId="49" fontId="4" fillId="0" borderId="0" xfId="0" applyNumberFormat="1" applyFont="1"/>
    <xf numFmtId="49" fontId="69" fillId="0" borderId="27" xfId="0" applyNumberFormat="1" applyFont="1" applyBorder="1" applyAlignment="1">
      <alignment horizontal="center"/>
    </xf>
    <xf numFmtId="187" fontId="365" fillId="0" borderId="0" xfId="0" applyNumberFormat="1" applyFont="1" applyBorder="1" applyAlignment="1">
      <alignment horizontal="center"/>
    </xf>
    <xf numFmtId="0" fontId="26" fillId="0" borderId="0" xfId="0" applyFont="1" applyBorder="1"/>
    <xf numFmtId="0" fontId="26" fillId="0" borderId="73" xfId="0" applyFont="1" applyBorder="1" applyAlignment="1">
      <alignment horizontal="center"/>
    </xf>
    <xf numFmtId="187" fontId="252" fillId="0" borderId="62" xfId="0" applyNumberFormat="1" applyFont="1" applyFill="1" applyBorder="1" applyAlignment="1">
      <alignment horizontal="center"/>
    </xf>
    <xf numFmtId="0" fontId="0" fillId="0" borderId="0" xfId="0" applyFill="1" applyBorder="1"/>
    <xf numFmtId="0" fontId="0" fillId="0" borderId="0" xfId="0" applyFill="1" applyBorder="1" applyAlignment="1">
      <alignment horizontal="left" indent="1"/>
    </xf>
    <xf numFmtId="0" fontId="0" fillId="0" borderId="62" xfId="0" applyFill="1" applyBorder="1" applyAlignment="1">
      <alignment horizontal="left" indent="1"/>
    </xf>
    <xf numFmtId="49" fontId="25" fillId="0" borderId="30" xfId="0" applyNumberFormat="1" applyFont="1" applyBorder="1" applyAlignment="1">
      <alignment horizontal="center"/>
    </xf>
    <xf numFmtId="49" fontId="25" fillId="0" borderId="22" xfId="0" applyNumberFormat="1" applyFont="1" applyBorder="1" applyAlignment="1">
      <alignment horizontal="center"/>
    </xf>
    <xf numFmtId="49" fontId="27" fillId="0" borderId="30" xfId="0" applyNumberFormat="1" applyFont="1" applyBorder="1" applyAlignment="1">
      <alignment horizontal="center"/>
    </xf>
    <xf numFmtId="49" fontId="27" fillId="0" borderId="0" xfId="0" applyNumberFormat="1" applyFont="1" applyAlignment="1">
      <alignment horizontal="center"/>
    </xf>
    <xf numFmtId="49" fontId="26" fillId="0" borderId="22" xfId="0" applyNumberFormat="1" applyFont="1" applyBorder="1" applyAlignment="1">
      <alignment horizontal="center"/>
    </xf>
    <xf numFmtId="49" fontId="26" fillId="0" borderId="1" xfId="0" applyNumberFormat="1" applyFont="1" applyBorder="1" applyAlignment="1">
      <alignment horizontal="center"/>
    </xf>
    <xf numFmtId="49" fontId="26" fillId="0" borderId="54" xfId="0" applyNumberFormat="1" applyFont="1" applyBorder="1" applyAlignment="1">
      <alignment horizontal="center"/>
    </xf>
    <xf numFmtId="49" fontId="51" fillId="0" borderId="30" xfId="0" applyNumberFormat="1" applyFont="1" applyBorder="1" applyAlignment="1">
      <alignment horizontal="center"/>
    </xf>
    <xf numFmtId="49" fontId="51" fillId="0" borderId="136" xfId="0" applyNumberFormat="1" applyFont="1" applyBorder="1" applyAlignment="1">
      <alignment horizontal="center"/>
    </xf>
    <xf numFmtId="49" fontId="179" fillId="0" borderId="54" xfId="0" applyNumberFormat="1" applyFont="1" applyBorder="1" applyAlignment="1">
      <alignment horizontal="center"/>
    </xf>
    <xf numFmtId="49" fontId="179" fillId="0" borderId="22" xfId="0" applyNumberFormat="1" applyFont="1" applyBorder="1" applyAlignment="1">
      <alignment horizontal="center"/>
    </xf>
    <xf numFmtId="49" fontId="366" fillId="0" borderId="0" xfId="0" applyNumberFormat="1" applyFont="1"/>
    <xf numFmtId="49" fontId="23" fillId="0" borderId="0" xfId="0" applyNumberFormat="1" applyFont="1" applyAlignment="1">
      <alignment horizontal="center"/>
    </xf>
    <xf numFmtId="49" fontId="26" fillId="0" borderId="0" xfId="0" applyNumberFormat="1" applyFont="1" applyAlignment="1">
      <alignment horizontal="left"/>
    </xf>
    <xf numFmtId="49" fontId="179" fillId="0" borderId="0" xfId="0" applyNumberFormat="1" applyFont="1" applyAlignment="1">
      <alignment horizontal="left"/>
    </xf>
    <xf numFmtId="49" fontId="51" fillId="0" borderId="0" xfId="0" applyNumberFormat="1" applyFont="1" applyAlignment="1">
      <alignment horizontal="right"/>
    </xf>
    <xf numFmtId="0" fontId="25" fillId="0" borderId="0" xfId="0" applyFont="1" applyAlignment="1">
      <alignment horizontal="center" vertical="center"/>
    </xf>
    <xf numFmtId="0" fontId="197" fillId="0" borderId="3" xfId="0" applyFont="1" applyBorder="1" applyAlignment="1">
      <alignment horizontal="center" vertical="center"/>
    </xf>
    <xf numFmtId="3" fontId="25" fillId="0" borderId="1" xfId="5" applyNumberFormat="1" applyFont="1" applyBorder="1" applyAlignment="1">
      <alignment horizontal="center" vertical="center"/>
    </xf>
    <xf numFmtId="3" fontId="25" fillId="0" borderId="5" xfId="0" applyNumberFormat="1" applyFont="1" applyBorder="1" applyAlignment="1">
      <alignment horizontal="center" vertical="center"/>
    </xf>
    <xf numFmtId="1" fontId="197" fillId="0" borderId="0" xfId="0" applyNumberFormat="1" applyFont="1" applyBorder="1" applyAlignment="1">
      <alignment horizontal="center" vertical="center"/>
    </xf>
    <xf numFmtId="1" fontId="197" fillId="0" borderId="62" xfId="0" applyNumberFormat="1" applyFont="1" applyFill="1" applyBorder="1" applyAlignment="1">
      <alignment horizontal="center" vertical="center"/>
    </xf>
    <xf numFmtId="1" fontId="197" fillId="0" borderId="46" xfId="0" applyNumberFormat="1" applyFont="1" applyFill="1" applyBorder="1" applyAlignment="1">
      <alignment horizontal="center" vertical="center"/>
    </xf>
    <xf numFmtId="1" fontId="25" fillId="0" borderId="1" xfId="0" applyNumberFormat="1" applyFont="1" applyBorder="1" applyAlignment="1">
      <alignment horizontal="center" vertical="center"/>
    </xf>
    <xf numFmtId="1" fontId="25" fillId="0" borderId="5" xfId="0" applyNumberFormat="1" applyFont="1" applyBorder="1" applyAlignment="1">
      <alignment horizontal="center" vertical="center"/>
    </xf>
    <xf numFmtId="0" fontId="25" fillId="0" borderId="0" xfId="0" applyFont="1" applyAlignment="1">
      <alignment horizontal="center"/>
    </xf>
    <xf numFmtId="14" fontId="197" fillId="0" borderId="0" xfId="0" applyNumberFormat="1" applyFont="1" applyFill="1" applyAlignment="1">
      <alignment horizontal="center" vertical="center"/>
    </xf>
    <xf numFmtId="190" fontId="25" fillId="0" borderId="5" xfId="0" applyNumberFormat="1" applyFont="1" applyBorder="1" applyAlignment="1">
      <alignment horizontal="center" vertical="center"/>
    </xf>
    <xf numFmtId="1" fontId="126" fillId="0" borderId="80" xfId="0" applyNumberFormat="1" applyFont="1" applyBorder="1" applyAlignment="1">
      <alignment horizontal="center" vertical="center"/>
    </xf>
    <xf numFmtId="1" fontId="10" fillId="0" borderId="37" xfId="0" applyNumberFormat="1" applyFont="1" applyFill="1" applyBorder="1" applyAlignment="1">
      <alignment horizontal="center" vertical="center"/>
    </xf>
    <xf numFmtId="49" fontId="253" fillId="0" borderId="47" xfId="0" applyNumberFormat="1" applyFont="1" applyBorder="1" applyAlignment="1">
      <alignment horizontal="center" vertical="center"/>
    </xf>
    <xf numFmtId="0" fontId="253" fillId="0" borderId="47" xfId="0" applyFont="1" applyBorder="1" applyAlignment="1">
      <alignment vertical="center"/>
    </xf>
    <xf numFmtId="167" fontId="126" fillId="0" borderId="47" xfId="0" applyNumberFormat="1" applyFont="1" applyBorder="1" applyAlignment="1">
      <alignment horizontal="center" vertical="center"/>
    </xf>
    <xf numFmtId="1" fontId="25" fillId="0" borderId="47" xfId="0" applyNumberFormat="1" applyFont="1" applyBorder="1" applyAlignment="1">
      <alignment horizontal="center" vertical="center"/>
    </xf>
    <xf numFmtId="190" fontId="253" fillId="0" borderId="47" xfId="0" applyNumberFormat="1" applyFont="1" applyBorder="1" applyAlignment="1">
      <alignment horizontal="center" vertical="center"/>
    </xf>
    <xf numFmtId="0" fontId="253" fillId="0" borderId="68" xfId="0" applyFont="1" applyBorder="1" applyAlignment="1">
      <alignment vertical="center"/>
    </xf>
    <xf numFmtId="0" fontId="6" fillId="0" borderId="0" xfId="0" applyNumberFormat="1" applyFont="1"/>
    <xf numFmtId="4" fontId="6" fillId="0" borderId="0" xfId="0" applyNumberFormat="1" applyFont="1"/>
    <xf numFmtId="204" fontId="367" fillId="0" borderId="108" xfId="5" applyNumberFormat="1" applyFont="1" applyFill="1" applyBorder="1" applyAlignment="1">
      <alignment horizontal="center" vertical="center"/>
    </xf>
    <xf numFmtId="204" fontId="290" fillId="0" borderId="48" xfId="5" applyNumberFormat="1" applyFont="1" applyFill="1" applyBorder="1" applyAlignment="1">
      <alignment horizontal="center" vertical="center"/>
    </xf>
    <xf numFmtId="204" fontId="290" fillId="0" borderId="108" xfId="5" applyNumberFormat="1" applyFont="1" applyFill="1" applyBorder="1" applyAlignment="1">
      <alignment horizontal="center" vertical="center"/>
    </xf>
    <xf numFmtId="204" fontId="290" fillId="0" borderId="53" xfId="5" applyNumberFormat="1" applyFont="1" applyFill="1" applyBorder="1" applyAlignment="1">
      <alignment horizontal="center" vertical="center"/>
    </xf>
    <xf numFmtId="204" fontId="18" fillId="0" borderId="0" xfId="0" applyNumberFormat="1" applyFont="1" applyBorder="1" applyAlignment="1">
      <alignment horizontal="center"/>
    </xf>
    <xf numFmtId="204" fontId="18" fillId="0" borderId="62" xfId="0" applyNumberFormat="1" applyFont="1" applyBorder="1" applyAlignment="1">
      <alignment horizontal="center"/>
    </xf>
    <xf numFmtId="183" fontId="93" fillId="0" borderId="1" xfId="0" applyNumberFormat="1" applyFont="1" applyBorder="1" applyAlignment="1">
      <alignment horizontal="center" vertical="center"/>
    </xf>
    <xf numFmtId="183" fontId="93" fillId="0" borderId="5" xfId="0" applyNumberFormat="1" applyFont="1" applyBorder="1" applyAlignment="1">
      <alignment horizontal="center" vertical="center"/>
    </xf>
    <xf numFmtId="183" fontId="93" fillId="0" borderId="47" xfId="0" applyNumberFormat="1" applyFont="1" applyBorder="1" applyAlignment="1">
      <alignment horizontal="center" vertical="center"/>
    </xf>
    <xf numFmtId="0" fontId="13" fillId="0" borderId="52" xfId="0" applyFont="1" applyBorder="1" applyAlignment="1"/>
    <xf numFmtId="0" fontId="4" fillId="0" borderId="0" xfId="0" applyFont="1" applyBorder="1" applyAlignment="1">
      <alignment horizontal="center"/>
    </xf>
    <xf numFmtId="0" fontId="360" fillId="6" borderId="108" xfId="0" applyFont="1" applyFill="1" applyBorder="1" applyAlignment="1">
      <alignment horizontal="center"/>
    </xf>
    <xf numFmtId="0" fontId="360" fillId="6" borderId="0" xfId="0" applyFont="1" applyFill="1" applyBorder="1" applyAlignment="1">
      <alignment horizontal="center"/>
    </xf>
    <xf numFmtId="0" fontId="344" fillId="0" borderId="0" xfId="0" applyFont="1" applyAlignment="1">
      <alignment horizontal="center"/>
    </xf>
    <xf numFmtId="0" fontId="370" fillId="0" borderId="0" xfId="0" applyFont="1" applyAlignment="1">
      <alignment horizontal="center"/>
    </xf>
    <xf numFmtId="0" fontId="360" fillId="6" borderId="41" xfId="0" applyFont="1" applyFill="1" applyBorder="1" applyAlignment="1">
      <alignment horizontal="center"/>
    </xf>
    <xf numFmtId="0" fontId="116" fillId="6" borderId="73" xfId="0" applyFont="1" applyFill="1" applyBorder="1" applyAlignment="1">
      <alignment horizontal="center" vertical="center"/>
    </xf>
    <xf numFmtId="0" fontId="116" fillId="0" borderId="73" xfId="0" applyFont="1" applyBorder="1"/>
    <xf numFmtId="0" fontId="13" fillId="0" borderId="73" xfId="0" applyFont="1" applyBorder="1"/>
    <xf numFmtId="0" fontId="13" fillId="6" borderId="11" xfId="0" applyFont="1" applyFill="1" applyBorder="1" applyAlignment="1">
      <alignment horizontal="center" vertical="center"/>
    </xf>
    <xf numFmtId="0" fontId="116" fillId="0" borderId="57" xfId="0" applyFont="1" applyBorder="1"/>
    <xf numFmtId="0" fontId="371" fillId="0" borderId="108" xfId="0" applyFont="1" applyBorder="1" applyAlignment="1">
      <alignment horizontal="center"/>
    </xf>
    <xf numFmtId="169" fontId="279" fillId="7" borderId="1" xfId="0" applyNumberFormat="1" applyFont="1" applyFill="1" applyBorder="1" applyAlignment="1">
      <alignment horizontal="center" vertical="center" wrapText="1" shrinkToFit="1"/>
    </xf>
    <xf numFmtId="0" fontId="374" fillId="0" borderId="0" xfId="0" applyFont="1" applyFill="1" applyAlignment="1"/>
    <xf numFmtId="0" fontId="375" fillId="0" borderId="0" xfId="0" applyFont="1" applyBorder="1" applyAlignment="1">
      <alignment horizontal="center"/>
    </xf>
    <xf numFmtId="0" fontId="375" fillId="0" borderId="108" xfId="0" applyFont="1" applyBorder="1" applyAlignment="1">
      <alignment horizontal="center"/>
    </xf>
    <xf numFmtId="0" fontId="360" fillId="6" borderId="48" xfId="0" applyFont="1" applyFill="1" applyBorder="1" applyAlignment="1">
      <alignment horizontal="center"/>
    </xf>
    <xf numFmtId="0" fontId="0" fillId="0" borderId="1" xfId="0" applyBorder="1" applyAlignment="1">
      <alignment vertical="center" wrapText="1"/>
    </xf>
    <xf numFmtId="0" fontId="379" fillId="0" borderId="1" xfId="0" applyFont="1" applyBorder="1" applyAlignment="1">
      <alignment wrapText="1" shrinkToFit="1"/>
    </xf>
    <xf numFmtId="0" fontId="142" fillId="0" borderId="0" xfId="0" applyFont="1" applyAlignment="1">
      <alignment vertical="center"/>
    </xf>
    <xf numFmtId="0" fontId="380" fillId="0" borderId="0" xfId="0" applyFont="1" applyAlignment="1">
      <alignment vertical="center"/>
    </xf>
    <xf numFmtId="0" fontId="4" fillId="0" borderId="30" xfId="0" applyFont="1" applyBorder="1" applyAlignment="1">
      <alignment horizontal="center"/>
    </xf>
    <xf numFmtId="0" fontId="4" fillId="0" borderId="9" xfId="0" applyFont="1" applyBorder="1" applyAlignment="1">
      <alignment horizontal="center"/>
    </xf>
    <xf numFmtId="0" fontId="4" fillId="0" borderId="6" xfId="0" applyFont="1" applyBorder="1" applyAlignment="1">
      <alignment horizontal="center"/>
    </xf>
    <xf numFmtId="0" fontId="275" fillId="0" borderId="0" xfId="0" applyFont="1" applyBorder="1"/>
    <xf numFmtId="0" fontId="275" fillId="0" borderId="0" xfId="0" applyFont="1"/>
    <xf numFmtId="0" fontId="4" fillId="0" borderId="34" xfId="0" applyFont="1" applyBorder="1" applyAlignment="1">
      <alignment horizontal="center"/>
    </xf>
    <xf numFmtId="0" fontId="381" fillId="0" borderId="9" xfId="0" applyFont="1" applyBorder="1" applyAlignment="1">
      <alignment horizontal="left" vertical="center"/>
    </xf>
    <xf numFmtId="0" fontId="383" fillId="0" borderId="0" xfId="0" applyFont="1" applyFill="1" applyBorder="1" applyAlignment="1">
      <alignment horizontal="center" vertical="center"/>
    </xf>
    <xf numFmtId="0" fontId="360" fillId="6" borderId="52" xfId="0" applyFont="1" applyFill="1" applyBorder="1" applyAlignment="1">
      <alignment horizontal="center"/>
    </xf>
    <xf numFmtId="0" fontId="26" fillId="0" borderId="37" xfId="0" applyFont="1" applyBorder="1" applyAlignment="1">
      <alignment wrapText="1"/>
    </xf>
    <xf numFmtId="0" fontId="0" fillId="0" borderId="38" xfId="0" applyBorder="1" applyAlignment="1">
      <alignment horizontal="left" wrapText="1" indent="1"/>
    </xf>
    <xf numFmtId="0" fontId="0" fillId="0" borderId="18" xfId="0" applyBorder="1" applyAlignment="1">
      <alignment wrapText="1"/>
    </xf>
    <xf numFmtId="0" fontId="142" fillId="0" borderId="0" xfId="0" applyFont="1" applyAlignment="1">
      <alignment horizontal="left" indent="1"/>
    </xf>
    <xf numFmtId="0" fontId="52" fillId="0" borderId="0" xfId="0" applyFont="1" applyBorder="1" applyAlignment="1">
      <alignment horizontal="center"/>
    </xf>
    <xf numFmtId="0" fontId="381" fillId="0" borderId="0" xfId="0" applyFont="1" applyBorder="1" applyAlignment="1">
      <alignment horizontal="left" vertical="center"/>
    </xf>
    <xf numFmtId="0" fontId="381" fillId="0" borderId="0" xfId="0" applyFont="1" applyFill="1" applyBorder="1" applyAlignment="1">
      <alignment horizontal="left" vertical="center"/>
    </xf>
    <xf numFmtId="0" fontId="382" fillId="0" borderId="0" xfId="0" applyFont="1" applyBorder="1" applyAlignment="1">
      <alignment horizontal="left" vertical="center"/>
    </xf>
    <xf numFmtId="0" fontId="387" fillId="0" borderId="0" xfId="0" applyFont="1" applyBorder="1" applyAlignment="1">
      <alignment horizontal="center" vertical="center"/>
    </xf>
    <xf numFmtId="166" fontId="0" fillId="0" borderId="0" xfId="5" applyNumberFormat="1" applyFont="1" applyAlignment="1">
      <alignment horizontal="center"/>
    </xf>
    <xf numFmtId="0" fontId="52" fillId="0" borderId="45" xfId="0" applyFont="1" applyBorder="1" applyAlignment="1">
      <alignment horizontal="center"/>
    </xf>
    <xf numFmtId="0" fontId="52" fillId="0" borderId="46" xfId="0" applyFont="1" applyBorder="1" applyAlignment="1">
      <alignment horizontal="center"/>
    </xf>
    <xf numFmtId="0" fontId="13" fillId="0" borderId="18" xfId="0" applyFont="1" applyFill="1" applyBorder="1" applyAlignment="1">
      <alignment horizontal="center" vertical="center"/>
    </xf>
    <xf numFmtId="0" fontId="360" fillId="0" borderId="42" xfId="0" applyFont="1" applyFill="1" applyBorder="1" applyAlignment="1">
      <alignment horizontal="center"/>
    </xf>
    <xf numFmtId="0" fontId="360" fillId="0" borderId="42" xfId="0" applyFont="1" applyFill="1" applyBorder="1" applyAlignment="1">
      <alignment horizontal="center" vertical="center"/>
    </xf>
    <xf numFmtId="0" fontId="375" fillId="0" borderId="0" xfId="0" applyFont="1" applyFill="1" applyBorder="1" applyAlignment="1">
      <alignment horizontal="center"/>
    </xf>
    <xf numFmtId="0" fontId="360" fillId="0" borderId="0" xfId="0" applyFont="1" applyFill="1" applyBorder="1" applyAlignment="1">
      <alignment horizontal="center"/>
    </xf>
    <xf numFmtId="0" fontId="371" fillId="0" borderId="0" xfId="0" applyFont="1" applyFill="1" applyBorder="1" applyAlignment="1">
      <alignment horizontal="center"/>
    </xf>
    <xf numFmtId="0" fontId="4" fillId="0" borderId="20" xfId="0" applyFont="1" applyBorder="1" applyAlignment="1">
      <alignment horizontal="center"/>
    </xf>
    <xf numFmtId="0" fontId="4" fillId="0" borderId="28" xfId="0" applyFont="1" applyBorder="1" applyAlignment="1">
      <alignment horizontal="center"/>
    </xf>
    <xf numFmtId="0" fontId="275" fillId="0" borderId="9" xfId="0" applyFont="1" applyBorder="1"/>
    <xf numFmtId="0" fontId="4" fillId="0" borderId="52" xfId="0" applyFont="1" applyFill="1" applyBorder="1"/>
    <xf numFmtId="0" fontId="0" fillId="0" borderId="60" xfId="0" applyFill="1" applyBorder="1"/>
    <xf numFmtId="0" fontId="360" fillId="0" borderId="53" xfId="0" applyFont="1" applyFill="1" applyBorder="1" applyAlignment="1">
      <alignment horizontal="center"/>
    </xf>
    <xf numFmtId="0" fontId="360" fillId="0" borderId="29" xfId="0" applyFont="1" applyFill="1" applyBorder="1" applyAlignment="1">
      <alignment horizontal="center"/>
    </xf>
    <xf numFmtId="0" fontId="375" fillId="0" borderId="42" xfId="0" applyFont="1" applyBorder="1" applyAlignment="1">
      <alignment horizontal="center"/>
    </xf>
    <xf numFmtId="0" fontId="360" fillId="0" borderId="54" xfId="0" applyFont="1" applyFill="1" applyBorder="1" applyAlignment="1">
      <alignment horizontal="center"/>
    </xf>
    <xf numFmtId="0" fontId="371" fillId="0" borderId="42" xfId="0" applyFont="1" applyBorder="1" applyAlignment="1">
      <alignment horizontal="center"/>
    </xf>
    <xf numFmtId="0" fontId="360" fillId="0" borderId="55" xfId="0" applyFont="1" applyFill="1" applyBorder="1" applyAlignment="1">
      <alignment horizontal="center"/>
    </xf>
    <xf numFmtId="0" fontId="360" fillId="0" borderId="87" xfId="0" applyFont="1" applyFill="1" applyBorder="1" applyAlignment="1">
      <alignment horizontal="center"/>
    </xf>
    <xf numFmtId="0" fontId="375" fillId="0" borderId="54" xfId="0" applyFont="1" applyFill="1" applyBorder="1" applyAlignment="1">
      <alignment horizontal="center"/>
    </xf>
    <xf numFmtId="0" fontId="13" fillId="0" borderId="71" xfId="0" applyFont="1" applyFill="1" applyBorder="1" applyAlignment="1">
      <alignment horizontal="center" vertical="center"/>
    </xf>
    <xf numFmtId="0" fontId="13" fillId="0" borderId="22" xfId="0" applyFont="1" applyFill="1" applyBorder="1" applyAlignment="1">
      <alignment horizontal="center" vertical="center"/>
    </xf>
    <xf numFmtId="0" fontId="13" fillId="0" borderId="119" xfId="0" applyFont="1" applyFill="1" applyBorder="1" applyAlignment="1">
      <alignment horizontal="center" vertical="center"/>
    </xf>
    <xf numFmtId="0" fontId="383" fillId="0" borderId="22" xfId="0" applyFont="1" applyFill="1" applyBorder="1" applyAlignment="1">
      <alignment horizontal="center" vertical="center"/>
    </xf>
    <xf numFmtId="0" fontId="13" fillId="0" borderId="35" xfId="0" applyFont="1" applyFill="1" applyBorder="1"/>
    <xf numFmtId="0" fontId="13" fillId="0" borderId="106" xfId="0" applyFont="1" applyFill="1" applyBorder="1"/>
    <xf numFmtId="0" fontId="13" fillId="0" borderId="27" xfId="0" applyFont="1" applyFill="1" applyBorder="1"/>
    <xf numFmtId="0" fontId="13" fillId="0" borderId="73" xfId="0" applyFont="1" applyFill="1" applyBorder="1"/>
    <xf numFmtId="0" fontId="13" fillId="0" borderId="24" xfId="0" applyFont="1" applyFill="1" applyBorder="1" applyAlignment="1">
      <alignment horizontal="center" vertical="center"/>
    </xf>
    <xf numFmtId="0" fontId="13" fillId="0" borderId="129" xfId="0" applyFont="1" applyFill="1" applyBorder="1"/>
    <xf numFmtId="0" fontId="13" fillId="0" borderId="60" xfId="0" applyFont="1" applyFill="1" applyBorder="1"/>
    <xf numFmtId="0" fontId="13" fillId="0" borderId="119" xfId="0" applyFont="1" applyFill="1" applyBorder="1"/>
    <xf numFmtId="0" fontId="13" fillId="0" borderId="43" xfId="0" applyFont="1" applyFill="1" applyBorder="1"/>
    <xf numFmtId="0" fontId="389" fillId="0" borderId="9" xfId="0" applyFont="1" applyFill="1" applyBorder="1" applyAlignment="1"/>
    <xf numFmtId="0" fontId="389" fillId="0" borderId="30" xfId="0" applyFont="1" applyFill="1" applyBorder="1" applyAlignment="1"/>
    <xf numFmtId="0" fontId="2" fillId="0" borderId="0" xfId="0" applyFont="1" applyAlignment="1">
      <alignment vertical="center"/>
    </xf>
    <xf numFmtId="0" fontId="13" fillId="0" borderId="29" xfId="0" applyFont="1" applyFill="1" applyBorder="1" applyAlignment="1">
      <alignment horizontal="center"/>
    </xf>
    <xf numFmtId="0" fontId="238" fillId="0" borderId="54" xfId="0" applyFont="1" applyFill="1" applyBorder="1" applyAlignment="1">
      <alignment horizontal="center"/>
    </xf>
    <xf numFmtId="0" fontId="13" fillId="0" borderId="87" xfId="0" applyFont="1" applyFill="1" applyBorder="1" applyAlignment="1">
      <alignment horizontal="center"/>
    </xf>
    <xf numFmtId="0" fontId="238" fillId="0" borderId="54" xfId="0" applyFont="1" applyBorder="1" applyAlignment="1">
      <alignment horizontal="center"/>
    </xf>
    <xf numFmtId="0" fontId="238" fillId="0" borderId="22" xfId="0" applyFont="1" applyBorder="1" applyAlignment="1">
      <alignment horizontal="center"/>
    </xf>
    <xf numFmtId="0" fontId="13" fillId="0" borderId="22" xfId="0" applyFont="1" applyFill="1" applyBorder="1" applyAlignment="1">
      <alignment horizontal="center"/>
    </xf>
    <xf numFmtId="0" fontId="181" fillId="0" borderId="54" xfId="0" applyFont="1" applyBorder="1" applyAlignment="1">
      <alignment horizontal="center"/>
    </xf>
    <xf numFmtId="0" fontId="360" fillId="0" borderId="29" xfId="0" applyFont="1" applyFill="1" applyBorder="1" applyAlignment="1">
      <alignment horizontal="center" vertical="center"/>
    </xf>
    <xf numFmtId="0" fontId="360" fillId="0" borderId="54" xfId="0" applyFont="1" applyFill="1" applyBorder="1" applyAlignment="1">
      <alignment horizontal="center" vertical="center"/>
    </xf>
    <xf numFmtId="0" fontId="390" fillId="0" borderId="54" xfId="0" applyFont="1" applyFill="1" applyBorder="1" applyAlignment="1">
      <alignment horizontal="center" vertical="center"/>
    </xf>
    <xf numFmtId="0" fontId="360" fillId="0" borderId="87" xfId="0" applyFont="1" applyFill="1" applyBorder="1" applyAlignment="1">
      <alignment horizontal="center" vertical="center"/>
    </xf>
    <xf numFmtId="0" fontId="360" fillId="0" borderId="28" xfId="0" applyFont="1" applyFill="1" applyBorder="1" applyAlignment="1">
      <alignment horizontal="center" vertical="center"/>
    </xf>
    <xf numFmtId="0" fontId="360" fillId="0" borderId="30" xfId="0" applyFont="1" applyFill="1" applyBorder="1" applyAlignment="1">
      <alignment horizontal="center" vertical="center"/>
    </xf>
    <xf numFmtId="0" fontId="360" fillId="0" borderId="53" xfId="0" applyFont="1" applyFill="1" applyBorder="1" applyAlignment="1">
      <alignment horizontal="center" vertical="center"/>
    </xf>
    <xf numFmtId="0" fontId="360" fillId="0" borderId="108" xfId="0" applyFont="1" applyFill="1" applyBorder="1"/>
    <xf numFmtId="0" fontId="391" fillId="0" borderId="20" xfId="0" applyFont="1" applyBorder="1" applyAlignment="1">
      <alignment horizontal="left" vertical="center"/>
    </xf>
    <xf numFmtId="0" fontId="391" fillId="0" borderId="9" xfId="0" applyFont="1" applyBorder="1" applyAlignment="1">
      <alignment horizontal="left" vertical="center"/>
    </xf>
    <xf numFmtId="0" fontId="391" fillId="0" borderId="9" xfId="0" applyFont="1" applyFill="1" applyBorder="1" applyAlignment="1">
      <alignment horizontal="left" vertical="center"/>
    </xf>
    <xf numFmtId="0" fontId="393" fillId="0" borderId="1" xfId="0" applyFont="1" applyBorder="1" applyAlignment="1">
      <alignment vertical="center"/>
    </xf>
    <xf numFmtId="0" fontId="372" fillId="0" borderId="0" xfId="0" applyFont="1" applyBorder="1" applyAlignment="1">
      <alignment horizontal="center"/>
    </xf>
    <xf numFmtId="0" fontId="394" fillId="13" borderId="0" xfId="0" applyFont="1" applyFill="1" applyAlignment="1">
      <alignment horizontal="center"/>
    </xf>
    <xf numFmtId="0" fontId="395" fillId="13" borderId="0" xfId="0" applyFont="1" applyFill="1" applyAlignment="1">
      <alignment horizontal="center"/>
    </xf>
    <xf numFmtId="0" fontId="395" fillId="13" borderId="0" xfId="0" applyFont="1" applyFill="1" applyAlignment="1">
      <alignment horizontal="right"/>
    </xf>
    <xf numFmtId="0" fontId="204" fillId="0" borderId="0" xfId="0" applyFont="1" applyFill="1" applyAlignment="1">
      <alignment horizontal="center"/>
    </xf>
    <xf numFmtId="0" fontId="386" fillId="0" borderId="0" xfId="0" applyFont="1" applyFill="1" applyAlignment="1">
      <alignment horizontal="center"/>
    </xf>
    <xf numFmtId="0" fontId="313" fillId="0" borderId="0" xfId="0" applyFont="1" applyFill="1" applyAlignment="1">
      <alignment horizontal="center"/>
    </xf>
    <xf numFmtId="0" fontId="313" fillId="0" borderId="0" xfId="0" applyFont="1" applyFill="1" applyAlignment="1">
      <alignment horizontal="right"/>
    </xf>
    <xf numFmtId="0" fontId="204" fillId="0" borderId="0" xfId="0" applyFont="1" applyFill="1" applyAlignment="1"/>
    <xf numFmtId="0" fontId="32" fillId="2" borderId="0" xfId="0" applyFont="1" applyFill="1" applyBorder="1" applyAlignment="1">
      <alignment vertical="center"/>
    </xf>
    <xf numFmtId="0" fontId="396" fillId="14" borderId="0" xfId="0" applyFont="1" applyFill="1" applyAlignment="1"/>
    <xf numFmtId="0" fontId="27" fillId="14" borderId="0" xfId="0" applyFont="1" applyFill="1" applyAlignment="1">
      <alignment horizontal="center"/>
    </xf>
    <xf numFmtId="0" fontId="397" fillId="14" borderId="0" xfId="0" applyFont="1" applyFill="1" applyAlignment="1">
      <alignment horizontal="center"/>
    </xf>
    <xf numFmtId="0" fontId="397" fillId="14" borderId="0" xfId="0" applyFont="1" applyFill="1" applyAlignment="1">
      <alignment horizontal="right"/>
    </xf>
    <xf numFmtId="0" fontId="256" fillId="2" borderId="0" xfId="0" applyFont="1" applyFill="1" applyAlignment="1">
      <alignment horizontal="left"/>
    </xf>
    <xf numFmtId="0" fontId="71" fillId="0" borderId="0" xfId="0" applyFont="1" applyAlignment="1"/>
    <xf numFmtId="0" fontId="360" fillId="0" borderId="0" xfId="0" applyFont="1" applyFill="1" applyBorder="1" applyAlignment="1">
      <alignment horizontal="center" vertical="center"/>
    </xf>
    <xf numFmtId="0" fontId="18" fillId="0" borderId="0" xfId="0" applyFont="1"/>
    <xf numFmtId="0" fontId="389" fillId="0" borderId="0" xfId="0" applyFont="1" applyFill="1" applyBorder="1" applyAlignment="1"/>
    <xf numFmtId="0" fontId="238" fillId="0" borderId="0" xfId="0" applyFont="1" applyFill="1" applyBorder="1" applyAlignment="1">
      <alignment horizontal="center"/>
    </xf>
    <xf numFmtId="0" fontId="390" fillId="0" borderId="0" xfId="0" applyFont="1" applyFill="1" applyBorder="1" applyAlignment="1">
      <alignment horizontal="center" vertical="center"/>
    </xf>
    <xf numFmtId="0" fontId="4" fillId="0" borderId="0" xfId="0" applyFont="1" applyFill="1" applyBorder="1"/>
    <xf numFmtId="0" fontId="4" fillId="0" borderId="0" xfId="0" applyFont="1" applyFill="1" applyBorder="1" applyAlignment="1">
      <alignment horizontal="center"/>
    </xf>
    <xf numFmtId="0" fontId="181" fillId="0" borderId="0" xfId="0" applyFont="1" applyFill="1" applyBorder="1" applyAlignment="1">
      <alignment horizontal="center"/>
    </xf>
    <xf numFmtId="0" fontId="13" fillId="0" borderId="5" xfId="0" applyFont="1" applyFill="1" applyBorder="1" applyAlignment="1">
      <alignment horizontal="center"/>
    </xf>
    <xf numFmtId="0" fontId="27" fillId="15" borderId="0" xfId="0" applyFont="1" applyFill="1" applyAlignment="1">
      <alignment horizontal="center"/>
    </xf>
    <xf numFmtId="0" fontId="112" fillId="15" borderId="0" xfId="0" applyFont="1" applyFill="1" applyAlignment="1">
      <alignment horizontal="center"/>
    </xf>
    <xf numFmtId="0" fontId="112" fillId="15" borderId="0" xfId="0" applyFont="1" applyFill="1" applyAlignment="1">
      <alignment horizontal="right"/>
    </xf>
    <xf numFmtId="0" fontId="383" fillId="0" borderId="1" xfId="0" applyFont="1" applyFill="1" applyBorder="1" applyAlignment="1">
      <alignment horizontal="center" vertical="center"/>
    </xf>
    <xf numFmtId="0" fontId="13" fillId="0" borderId="19" xfId="0" applyFont="1" applyFill="1" applyBorder="1" applyAlignment="1">
      <alignment horizontal="center" vertical="center"/>
    </xf>
    <xf numFmtId="0" fontId="0" fillId="0" borderId="20" xfId="0" applyBorder="1"/>
    <xf numFmtId="0" fontId="10" fillId="0" borderId="46" xfId="0" applyFont="1" applyBorder="1" applyAlignment="1">
      <alignment horizontal="left"/>
    </xf>
    <xf numFmtId="0" fontId="7" fillId="0" borderId="107" xfId="0" applyFont="1" applyBorder="1" applyAlignment="1">
      <alignment horizontal="left"/>
    </xf>
    <xf numFmtId="0" fontId="7" fillId="0" borderId="46" xfId="0" applyFont="1" applyBorder="1" applyAlignment="1">
      <alignment horizontal="left" indent="1"/>
    </xf>
    <xf numFmtId="0" fontId="360" fillId="0" borderId="58" xfId="0" applyFont="1" applyFill="1" applyBorder="1" applyAlignment="1">
      <alignment horizontal="center" vertical="center"/>
    </xf>
    <xf numFmtId="0" fontId="360" fillId="0" borderId="8" xfId="0" applyFont="1" applyFill="1" applyBorder="1" applyAlignment="1">
      <alignment horizontal="center" vertical="center"/>
    </xf>
    <xf numFmtId="0" fontId="390" fillId="0" borderId="8" xfId="0" applyFont="1" applyFill="1" applyBorder="1" applyAlignment="1">
      <alignment horizontal="center" vertical="center"/>
    </xf>
    <xf numFmtId="0" fontId="360" fillId="0" borderId="4" xfId="0" applyFont="1" applyFill="1" applyBorder="1" applyAlignment="1">
      <alignment horizontal="center" vertical="center"/>
    </xf>
    <xf numFmtId="0" fontId="4" fillId="0" borderId="41" xfId="0" applyFont="1" applyFill="1" applyBorder="1" applyAlignment="1">
      <alignment horizontal="left" indent="10"/>
    </xf>
    <xf numFmtId="0" fontId="43" fillId="0" borderId="28" xfId="0" applyFont="1" applyFill="1" applyBorder="1" applyAlignment="1">
      <alignment horizontal="center" vertical="center"/>
    </xf>
    <xf numFmtId="0" fontId="43" fillId="0" borderId="58" xfId="0" applyFont="1" applyBorder="1" applyAlignment="1">
      <alignment horizontal="center"/>
    </xf>
    <xf numFmtId="0" fontId="43" fillId="0" borderId="19" xfId="0" applyFont="1" applyBorder="1" applyAlignment="1">
      <alignment horizontal="center"/>
    </xf>
    <xf numFmtId="0" fontId="43" fillId="0" borderId="30" xfId="0" applyFont="1" applyFill="1" applyBorder="1" applyAlignment="1">
      <alignment horizontal="center" vertical="center"/>
    </xf>
    <xf numFmtId="0" fontId="43" fillId="0" borderId="8" xfId="0" applyFont="1" applyBorder="1" applyAlignment="1">
      <alignment horizontal="center"/>
    </xf>
    <xf numFmtId="0" fontId="43" fillId="0" borderId="1" xfId="0" applyFont="1" applyBorder="1" applyAlignment="1">
      <alignment horizontal="center"/>
    </xf>
    <xf numFmtId="0" fontId="399" fillId="0" borderId="30" xfId="0" applyFont="1" applyFill="1" applyBorder="1" applyAlignment="1">
      <alignment horizontal="center" vertical="center"/>
    </xf>
    <xf numFmtId="0" fontId="43" fillId="0" borderId="34" xfId="0" applyFont="1" applyFill="1" applyBorder="1" applyAlignment="1">
      <alignment horizontal="center"/>
    </xf>
    <xf numFmtId="0" fontId="43" fillId="0" borderId="4" xfId="0" applyFont="1" applyBorder="1" applyAlignment="1">
      <alignment horizontal="center"/>
    </xf>
    <xf numFmtId="0" fontId="43" fillId="0" borderId="5" xfId="0" applyFont="1" applyBorder="1" applyAlignment="1">
      <alignment horizontal="center"/>
    </xf>
    <xf numFmtId="0" fontId="10" fillId="0" borderId="0" xfId="4" applyFont="1" applyFill="1" applyBorder="1" applyAlignment="1" applyProtection="1"/>
    <xf numFmtId="0" fontId="26" fillId="0" borderId="0" xfId="0" applyFont="1" applyBorder="1" applyAlignment="1">
      <alignment horizontal="center" vertical="center"/>
    </xf>
    <xf numFmtId="0" fontId="14" fillId="0" borderId="0" xfId="0" applyFont="1" applyAlignment="1">
      <alignment vertical="center"/>
    </xf>
    <xf numFmtId="0" fontId="0" fillId="0" borderId="0" xfId="0" applyAlignment="1">
      <alignment horizontal="left" vertical="top"/>
    </xf>
    <xf numFmtId="0" fontId="400" fillId="0" borderId="43" xfId="0" applyFont="1" applyBorder="1" applyAlignment="1">
      <alignment horizontal="center" vertical="center"/>
    </xf>
    <xf numFmtId="0" fontId="279" fillId="0" borderId="0" xfId="0" applyFont="1" applyBorder="1" applyAlignment="1">
      <alignment horizontal="left" vertical="center"/>
    </xf>
    <xf numFmtId="169" fontId="401" fillId="0" borderId="137" xfId="0" applyNumberFormat="1" applyFont="1" applyFill="1" applyBorder="1" applyAlignment="1">
      <alignment horizontal="center" vertical="center" wrapText="1" shrinkToFit="1"/>
    </xf>
    <xf numFmtId="0" fontId="402" fillId="0" borderId="86" xfId="0" applyFont="1" applyBorder="1" applyAlignment="1">
      <alignment horizontal="center" vertical="center"/>
    </xf>
    <xf numFmtId="169" fontId="403" fillId="0" borderId="137" xfId="0" applyNumberFormat="1" applyFont="1" applyFill="1" applyBorder="1" applyAlignment="1">
      <alignment horizontal="center" vertical="center" wrapText="1" shrinkToFit="1"/>
    </xf>
    <xf numFmtId="0" fontId="404" fillId="0" borderId="43" xfId="0" applyFont="1" applyBorder="1" applyAlignment="1">
      <alignment horizontal="center" vertical="center"/>
    </xf>
    <xf numFmtId="0" fontId="210" fillId="0" borderId="0" xfId="0" applyFont="1"/>
    <xf numFmtId="0" fontId="406" fillId="0" borderId="0" xfId="0" applyFont="1" applyAlignment="1">
      <alignment horizontal="center"/>
    </xf>
    <xf numFmtId="0" fontId="406" fillId="0" borderId="0" xfId="0" applyFont="1"/>
    <xf numFmtId="0" fontId="22" fillId="0" borderId="0" xfId="0" applyFont="1" applyAlignment="1"/>
    <xf numFmtId="0" fontId="8" fillId="0" borderId="1" xfId="0" applyFont="1" applyFill="1" applyBorder="1" applyAlignment="1">
      <alignment horizontal="center"/>
    </xf>
    <xf numFmtId="0" fontId="405" fillId="0" borderId="47" xfId="0" applyFont="1" applyFill="1" applyBorder="1"/>
    <xf numFmtId="0" fontId="406" fillId="0" borderId="0" xfId="0" applyFont="1" applyFill="1" applyBorder="1"/>
    <xf numFmtId="0" fontId="406" fillId="0" borderId="1" xfId="0" applyFont="1" applyBorder="1" applyAlignment="1">
      <alignment horizontal="center"/>
    </xf>
    <xf numFmtId="197" fontId="406" fillId="0" borderId="1" xfId="0" applyNumberFormat="1" applyFont="1" applyFill="1" applyBorder="1"/>
    <xf numFmtId="191" fontId="406" fillId="0" borderId="1" xfId="0" applyNumberFormat="1" applyFont="1" applyBorder="1"/>
    <xf numFmtId="0" fontId="0" fillId="0" borderId="11" xfId="0" applyBorder="1"/>
    <xf numFmtId="0" fontId="287" fillId="0" borderId="47" xfId="0" applyFont="1" applyBorder="1"/>
    <xf numFmtId="191" fontId="51" fillId="0" borderId="1" xfId="0" applyNumberFormat="1" applyFont="1" applyBorder="1"/>
    <xf numFmtId="197" fontId="51" fillId="0" borderId="1" xfId="0" applyNumberFormat="1" applyFont="1" applyFill="1" applyBorder="1"/>
    <xf numFmtId="0" fontId="43" fillId="0" borderId="0" xfId="0" applyFont="1"/>
    <xf numFmtId="0" fontId="253" fillId="0" borderId="0" xfId="0" applyFont="1" applyAlignment="1">
      <alignment horizontal="center"/>
    </xf>
    <xf numFmtId="0" fontId="7" fillId="0" borderId="1" xfId="0" applyFont="1" applyBorder="1" applyAlignment="1">
      <alignment horizontal="center" vertical="center" wrapText="1" shrinkToFit="1"/>
    </xf>
    <xf numFmtId="49" fontId="7" fillId="0" borderId="1" xfId="0" applyNumberFormat="1" applyFont="1" applyBorder="1" applyAlignment="1">
      <alignment vertical="center"/>
    </xf>
    <xf numFmtId="0" fontId="7" fillId="0" borderId="1" xfId="0" applyFont="1" applyBorder="1" applyAlignment="1">
      <alignment vertical="center"/>
    </xf>
    <xf numFmtId="0" fontId="109" fillId="10" borderId="1" xfId="0" applyFont="1" applyFill="1" applyBorder="1" applyAlignment="1">
      <alignment horizontal="center" wrapText="1"/>
    </xf>
    <xf numFmtId="0" fontId="405" fillId="0" borderId="0" xfId="0" applyFont="1" applyAlignment="1">
      <alignment horizontal="center"/>
    </xf>
    <xf numFmtId="0" fontId="405" fillId="0" borderId="0" xfId="0" applyFont="1" applyAlignment="1">
      <alignment horizontal="left"/>
    </xf>
    <xf numFmtId="166" fontId="14" fillId="0" borderId="0" xfId="5" applyNumberFormat="1" applyFont="1" applyAlignment="1">
      <alignment horizontal="left" vertical="center"/>
    </xf>
    <xf numFmtId="0" fontId="409" fillId="0" borderId="30" xfId="0" applyFont="1" applyBorder="1"/>
    <xf numFmtId="0" fontId="410" fillId="0" borderId="26" xfId="0" applyFont="1" applyBorder="1" applyAlignment="1">
      <alignment horizontal="center"/>
    </xf>
    <xf numFmtId="0" fontId="410" fillId="0" borderId="26" xfId="0" applyFont="1" applyBorder="1"/>
    <xf numFmtId="4" fontId="410" fillId="0" borderId="26" xfId="0" applyNumberFormat="1" applyFont="1" applyBorder="1" applyAlignment="1">
      <alignment horizontal="center"/>
    </xf>
    <xf numFmtId="14" fontId="411" fillId="0" borderId="0" xfId="0" applyNumberFormat="1" applyFont="1" applyAlignment="1">
      <alignment horizontal="center"/>
    </xf>
    <xf numFmtId="0" fontId="411" fillId="0" borderId="0" xfId="0" applyFont="1" applyAlignment="1">
      <alignment horizontal="center"/>
    </xf>
    <xf numFmtId="0" fontId="411" fillId="0" borderId="0" xfId="0" applyFont="1"/>
    <xf numFmtId="4" fontId="411" fillId="0" borderId="0" xfId="0" applyNumberFormat="1" applyFont="1"/>
    <xf numFmtId="0" fontId="410" fillId="0" borderId="0" xfId="0" applyNumberFormat="1" applyFont="1" applyAlignment="1">
      <alignment horizontal="center"/>
    </xf>
    <xf numFmtId="0" fontId="410" fillId="0" borderId="0" xfId="0" applyFont="1" applyAlignment="1">
      <alignment horizontal="left"/>
    </xf>
    <xf numFmtId="0" fontId="410" fillId="0" borderId="0" xfId="0" applyFont="1" applyAlignment="1">
      <alignment horizontal="center"/>
    </xf>
    <xf numFmtId="4" fontId="410" fillId="0" borderId="0" xfId="0" applyNumberFormat="1" applyFont="1"/>
    <xf numFmtId="4" fontId="410" fillId="0" borderId="1" xfId="0" applyNumberFormat="1" applyFont="1" applyBorder="1"/>
    <xf numFmtId="0" fontId="22" fillId="0" borderId="0" xfId="0" applyFont="1" applyBorder="1" applyAlignment="1">
      <alignment horizontal="center" vertical="center"/>
    </xf>
    <xf numFmtId="205" fontId="23" fillId="0" borderId="0" xfId="0" applyNumberFormat="1" applyFont="1" applyAlignment="1">
      <alignment horizontal="center"/>
    </xf>
    <xf numFmtId="0" fontId="19" fillId="0" borderId="0" xfId="0" applyFont="1"/>
    <xf numFmtId="0" fontId="18" fillId="0" borderId="0" xfId="0" applyFont="1" applyBorder="1" applyAlignment="1">
      <alignment horizontal="left"/>
    </xf>
    <xf numFmtId="0" fontId="3" fillId="0" borderId="26" xfId="0" applyFont="1" applyBorder="1" applyAlignment="1">
      <alignment horizontal="left"/>
    </xf>
    <xf numFmtId="15" fontId="411" fillId="0" borderId="0" xfId="0" applyNumberFormat="1" applyFont="1"/>
    <xf numFmtId="49" fontId="411" fillId="0" borderId="0" xfId="0" applyNumberFormat="1" applyFont="1" applyAlignment="1">
      <alignment horizontal="center"/>
    </xf>
    <xf numFmtId="166" fontId="411" fillId="0" borderId="0" xfId="0" applyNumberFormat="1" applyFont="1"/>
    <xf numFmtId="0" fontId="410" fillId="0" borderId="0" xfId="0" applyNumberFormat="1" applyFont="1"/>
    <xf numFmtId="166" fontId="410" fillId="0" borderId="0" xfId="0" applyNumberFormat="1" applyFont="1"/>
    <xf numFmtId="0" fontId="413" fillId="0" borderId="0" xfId="0" applyFont="1" applyFill="1" applyBorder="1" applyAlignment="1">
      <alignment horizontal="center" vertical="center"/>
    </xf>
    <xf numFmtId="0" fontId="13" fillId="0" borderId="0" xfId="0" applyFont="1" applyFill="1" applyBorder="1" applyAlignment="1"/>
    <xf numFmtId="177" fontId="4" fillId="0" borderId="0" xfId="0" applyNumberFormat="1" applyFont="1" applyFill="1" applyBorder="1" applyAlignment="1">
      <alignment horizontal="left"/>
    </xf>
    <xf numFmtId="0" fontId="13" fillId="0" borderId="0" xfId="0" applyFont="1" applyBorder="1" applyAlignment="1">
      <alignment horizontal="left"/>
    </xf>
    <xf numFmtId="0" fontId="15" fillId="0" borderId="0" xfId="4" applyBorder="1" applyAlignment="1" applyProtection="1">
      <alignment horizontal="left"/>
    </xf>
    <xf numFmtId="0" fontId="414" fillId="0" borderId="0" xfId="0" applyFont="1" applyBorder="1" applyAlignment="1">
      <alignment horizontal="left"/>
    </xf>
    <xf numFmtId="206" fontId="411" fillId="0" borderId="0" xfId="0" applyNumberFormat="1" applyFont="1"/>
    <xf numFmtId="206" fontId="18" fillId="0" borderId="0" xfId="0" applyNumberFormat="1" applyFont="1"/>
    <xf numFmtId="166" fontId="13" fillId="0" borderId="0" xfId="0" applyNumberFormat="1" applyFont="1"/>
    <xf numFmtId="0" fontId="40" fillId="0" borderId="0" xfId="0" applyNumberFormat="1" applyFont="1"/>
    <xf numFmtId="49" fontId="40" fillId="0" borderId="0" xfId="0" applyNumberFormat="1" applyFont="1" applyAlignment="1">
      <alignment horizontal="left"/>
    </xf>
    <xf numFmtId="0" fontId="40" fillId="0" borderId="0" xfId="0" applyFont="1"/>
    <xf numFmtId="166" fontId="40" fillId="0" borderId="0" xfId="0" applyNumberFormat="1" applyFont="1"/>
    <xf numFmtId="0" fontId="116" fillId="0" borderId="0" xfId="0" applyFont="1"/>
    <xf numFmtId="49" fontId="116" fillId="0" borderId="0" xfId="0" applyNumberFormat="1" applyFont="1" applyAlignment="1">
      <alignment horizontal="center"/>
    </xf>
    <xf numFmtId="166" fontId="116" fillId="0" borderId="0" xfId="0" applyNumberFormat="1" applyFont="1"/>
    <xf numFmtId="49" fontId="7" fillId="0" borderId="0" xfId="0" applyNumberFormat="1" applyFont="1" applyAlignment="1">
      <alignment horizontal="left"/>
    </xf>
    <xf numFmtId="49" fontId="7" fillId="0" borderId="0" xfId="0" applyNumberFormat="1" applyFont="1" applyAlignment="1"/>
    <xf numFmtId="206" fontId="18" fillId="0" borderId="0" xfId="0" applyNumberFormat="1" applyFont="1" applyAlignment="1">
      <alignment horizontal="center"/>
    </xf>
    <xf numFmtId="0" fontId="7" fillId="0" borderId="0" xfId="0" applyNumberFormat="1" applyFont="1" applyAlignment="1">
      <alignment horizontal="center"/>
    </xf>
    <xf numFmtId="166" fontId="6" fillId="0" borderId="0" xfId="0" applyNumberFormat="1" applyFont="1"/>
    <xf numFmtId="0" fontId="32" fillId="12" borderId="30" xfId="0" applyFont="1" applyFill="1" applyBorder="1"/>
    <xf numFmtId="0" fontId="32" fillId="12" borderId="54" xfId="0" applyFont="1" applyFill="1" applyBorder="1"/>
    <xf numFmtId="0" fontId="32" fillId="12" borderId="54" xfId="0" applyFont="1" applyFill="1" applyBorder="1" applyAlignment="1">
      <alignment horizontal="left" vertical="top"/>
    </xf>
    <xf numFmtId="0" fontId="32" fillId="12" borderId="22" xfId="0" applyFont="1" applyFill="1" applyBorder="1" applyAlignment="1">
      <alignment horizontal="left" vertical="top"/>
    </xf>
    <xf numFmtId="166" fontId="370" fillId="0" borderId="0" xfId="0" applyNumberFormat="1" applyFont="1" applyAlignment="1">
      <alignment horizontal="center"/>
    </xf>
    <xf numFmtId="166" fontId="344" fillId="0" borderId="0" xfId="0" applyNumberFormat="1" applyFont="1" applyAlignment="1">
      <alignment horizontal="center"/>
    </xf>
    <xf numFmtId="0" fontId="26" fillId="12" borderId="30" xfId="0" applyFont="1" applyFill="1" applyBorder="1"/>
    <xf numFmtId="0" fontId="26" fillId="12" borderId="54" xfId="0" applyFont="1" applyFill="1" applyBorder="1"/>
    <xf numFmtId="0" fontId="26" fillId="12" borderId="54" xfId="0" applyFont="1" applyFill="1" applyBorder="1" applyAlignment="1">
      <alignment horizontal="left" vertical="top"/>
    </xf>
    <xf numFmtId="0" fontId="26" fillId="12" borderId="22" xfId="0" applyFont="1" applyFill="1" applyBorder="1" applyAlignment="1">
      <alignment horizontal="left" vertical="top"/>
    </xf>
    <xf numFmtId="16" fontId="32" fillId="14" borderId="0" xfId="0" applyNumberFormat="1" applyFont="1" applyFill="1" applyAlignment="1">
      <alignment horizontal="right"/>
    </xf>
    <xf numFmtId="16" fontId="32" fillId="14" borderId="0" xfId="0" applyNumberFormat="1" applyFont="1" applyFill="1" applyAlignment="1">
      <alignment horizontal="center"/>
    </xf>
    <xf numFmtId="0" fontId="18" fillId="0" borderId="0" xfId="0" applyFont="1" applyFill="1"/>
    <xf numFmtId="49" fontId="0" fillId="0" borderId="0" xfId="0" applyNumberFormat="1" applyFill="1" applyAlignment="1">
      <alignment horizontal="center"/>
    </xf>
    <xf numFmtId="49" fontId="0" fillId="0" borderId="0" xfId="0" applyNumberFormat="1" applyFill="1"/>
    <xf numFmtId="0" fontId="26" fillId="0" borderId="0" xfId="0" applyFont="1" applyFill="1" applyBorder="1"/>
    <xf numFmtId="0" fontId="26" fillId="0" borderId="0" xfId="0" applyFont="1" applyFill="1" applyBorder="1" applyAlignment="1">
      <alignment horizontal="left" vertical="top"/>
    </xf>
    <xf numFmtId="0" fontId="0" fillId="0" borderId="0" xfId="0" applyFill="1" applyAlignment="1">
      <alignment horizontal="left" vertical="top"/>
    </xf>
    <xf numFmtId="0" fontId="0" fillId="0" borderId="0" xfId="0" applyFill="1" applyAlignment="1">
      <alignment horizontal="left"/>
    </xf>
    <xf numFmtId="0" fontId="155" fillId="0" borderId="0" xfId="0" applyFont="1" applyFill="1"/>
    <xf numFmtId="0" fontId="142" fillId="0" borderId="0" xfId="0" applyFont="1" applyFill="1" applyAlignment="1">
      <alignment horizontal="left" indent="1"/>
    </xf>
    <xf numFmtId="0" fontId="24" fillId="0" borderId="47" xfId="0" applyFont="1" applyBorder="1" applyAlignment="1">
      <alignment vertical="center"/>
    </xf>
    <xf numFmtId="49" fontId="24" fillId="0" borderId="47" xfId="0" applyNumberFormat="1" applyFont="1" applyBorder="1" applyAlignment="1">
      <alignment horizontal="center" vertical="center"/>
    </xf>
    <xf numFmtId="0" fontId="22" fillId="0" borderId="60" xfId="0" applyFont="1" applyBorder="1" applyAlignment="1">
      <alignment horizontal="center" vertical="center"/>
    </xf>
    <xf numFmtId="0" fontId="361" fillId="0" borderId="53" xfId="0" applyFont="1" applyBorder="1" applyAlignment="1">
      <alignment horizontal="center"/>
    </xf>
    <xf numFmtId="204" fontId="417" fillId="0" borderId="108" xfId="5" applyNumberFormat="1" applyFont="1" applyFill="1" applyBorder="1" applyAlignment="1">
      <alignment horizontal="center" vertical="center"/>
    </xf>
    <xf numFmtId="0" fontId="322" fillId="0" borderId="73" xfId="0" applyFont="1" applyBorder="1" applyAlignment="1">
      <alignment horizontal="center" vertical="center"/>
    </xf>
    <xf numFmtId="0" fontId="65" fillId="0" borderId="0" xfId="4" applyFont="1" applyAlignment="1" applyProtection="1"/>
    <xf numFmtId="0" fontId="55" fillId="0" borderId="0" xfId="4" applyFont="1" applyFill="1" applyBorder="1" applyAlignment="1" applyProtection="1"/>
    <xf numFmtId="0" fontId="64" fillId="0" borderId="0" xfId="4" applyFont="1" applyFill="1" applyBorder="1" applyAlignment="1" applyProtection="1"/>
    <xf numFmtId="0" fontId="229" fillId="0" borderId="0" xfId="0" applyFont="1" applyFill="1" applyBorder="1" applyAlignment="1"/>
    <xf numFmtId="0" fontId="230" fillId="0" borderId="0" xfId="0" applyFont="1" applyFill="1" applyBorder="1" applyAlignment="1"/>
    <xf numFmtId="0" fontId="85" fillId="0" borderId="0" xfId="0" applyFont="1" applyFill="1" applyBorder="1" applyAlignment="1"/>
    <xf numFmtId="204" fontId="367" fillId="0" borderId="48" xfId="5" applyNumberFormat="1" applyFont="1" applyFill="1" applyBorder="1" applyAlignment="1">
      <alignment horizontal="center" vertical="center"/>
    </xf>
    <xf numFmtId="0" fontId="357" fillId="0" borderId="41" xfId="0" applyFont="1" applyBorder="1" applyAlignment="1">
      <alignment horizontal="center" vertical="center"/>
    </xf>
    <xf numFmtId="0" fontId="4" fillId="0" borderId="72" xfId="0" applyFont="1" applyBorder="1" applyAlignment="1">
      <alignment horizontal="center" vertical="center"/>
    </xf>
    <xf numFmtId="0" fontId="4" fillId="0" borderId="73" xfId="0" applyFont="1" applyBorder="1" applyAlignment="1">
      <alignment horizontal="center" vertical="center"/>
    </xf>
    <xf numFmtId="49" fontId="418" fillId="0" borderId="0" xfId="0" applyNumberFormat="1" applyFont="1" applyAlignment="1">
      <alignment horizontal="center"/>
    </xf>
    <xf numFmtId="49" fontId="7" fillId="0" borderId="0" xfId="0" applyNumberFormat="1" applyFont="1" applyFill="1" applyBorder="1" applyAlignment="1">
      <alignment horizontal="center" vertical="center"/>
    </xf>
    <xf numFmtId="49" fontId="363" fillId="0" borderId="0" xfId="0" applyNumberFormat="1" applyFont="1" applyFill="1" applyBorder="1" applyAlignment="1"/>
    <xf numFmtId="0" fontId="26" fillId="0" borderId="54" xfId="0" applyFont="1" applyFill="1" applyBorder="1"/>
    <xf numFmtId="0" fontId="26" fillId="0" borderId="54" xfId="0" applyFont="1" applyFill="1" applyBorder="1" applyAlignment="1">
      <alignment horizontal="left" vertical="top"/>
    </xf>
    <xf numFmtId="0" fontId="26" fillId="0" borderId="22" xfId="0" applyFont="1" applyFill="1" applyBorder="1" applyAlignment="1">
      <alignment horizontal="left" vertical="top"/>
    </xf>
    <xf numFmtId="49" fontId="0" fillId="0" borderId="0" xfId="0" applyNumberFormat="1" applyAlignment="1">
      <alignment horizontal="left"/>
    </xf>
    <xf numFmtId="49" fontId="0" fillId="0" borderId="1" xfId="0" applyNumberFormat="1" applyFill="1" applyBorder="1" applyAlignment="1">
      <alignment horizontal="center"/>
    </xf>
    <xf numFmtId="49" fontId="0" fillId="0" borderId="1" xfId="0" applyNumberFormat="1" applyFill="1" applyBorder="1"/>
    <xf numFmtId="49" fontId="0" fillId="0" borderId="1" xfId="0" applyNumberFormat="1" applyBorder="1"/>
    <xf numFmtId="0" fontId="0" fillId="0" borderId="1" xfId="0" applyFill="1" applyBorder="1" applyAlignment="1">
      <alignment wrapText="1" shrinkToFit="1"/>
    </xf>
    <xf numFmtId="49" fontId="0" fillId="0" borderId="0" xfId="0" applyNumberFormat="1" applyBorder="1" applyAlignment="1">
      <alignment horizontal="center"/>
    </xf>
    <xf numFmtId="49" fontId="0" fillId="0" borderId="0" xfId="0" applyNumberFormat="1" applyBorder="1"/>
    <xf numFmtId="0" fontId="193" fillId="0" borderId="54" xfId="0" applyFont="1" applyFill="1" applyBorder="1"/>
    <xf numFmtId="0" fontId="69" fillId="0" borderId="0" xfId="0" applyFont="1" applyFill="1" applyBorder="1" applyAlignment="1">
      <alignment horizontal="center"/>
    </xf>
    <xf numFmtId="0" fontId="26" fillId="12" borderId="1" xfId="0" applyFont="1" applyFill="1" applyBorder="1" applyAlignment="1">
      <alignment horizontal="center" wrapText="1" shrinkToFit="1"/>
    </xf>
    <xf numFmtId="0" fontId="180" fillId="0" borderId="1" xfId="0" applyFont="1" applyFill="1" applyBorder="1" applyAlignment="1">
      <alignment horizontal="center" wrapText="1" shrinkToFit="1"/>
    </xf>
    <xf numFmtId="2" fontId="0" fillId="0" borderId="0" xfId="0" applyNumberFormat="1" applyBorder="1"/>
    <xf numFmtId="165" fontId="6" fillId="0" borderId="1" xfId="0" applyNumberFormat="1" applyFont="1" applyBorder="1"/>
    <xf numFmtId="49" fontId="0" fillId="0" borderId="30" xfId="0" applyNumberFormat="1" applyBorder="1"/>
    <xf numFmtId="0" fontId="26" fillId="0" borderId="1" xfId="0" applyFont="1" applyFill="1" applyBorder="1"/>
    <xf numFmtId="0" fontId="26" fillId="0" borderId="1" xfId="0" applyFont="1" applyFill="1" applyBorder="1" applyAlignment="1">
      <alignment horizontal="left" vertical="top"/>
    </xf>
    <xf numFmtId="0" fontId="38" fillId="0" borderId="1" xfId="0" applyFont="1" applyFill="1" applyBorder="1" applyAlignment="1">
      <alignment horizontal="left" vertical="center"/>
    </xf>
    <xf numFmtId="206" fontId="19" fillId="0" borderId="0" xfId="0" applyNumberFormat="1" applyFont="1" applyAlignment="1">
      <alignment horizontal="center"/>
    </xf>
    <xf numFmtId="0" fontId="40" fillId="0" borderId="0" xfId="0" applyFont="1" applyAlignment="1">
      <alignment horizontal="center"/>
    </xf>
    <xf numFmtId="166" fontId="40" fillId="0" borderId="0" xfId="0" applyNumberFormat="1" applyFont="1" applyAlignment="1">
      <alignment horizontal="center"/>
    </xf>
    <xf numFmtId="0" fontId="7" fillId="0" borderId="0" xfId="0" applyNumberFormat="1" applyFont="1" applyAlignment="1">
      <alignment horizontal="left"/>
    </xf>
    <xf numFmtId="0" fontId="6" fillId="0" borderId="0" xfId="0" applyNumberFormat="1" applyFont="1" applyAlignment="1">
      <alignment horizontal="left"/>
    </xf>
    <xf numFmtId="166" fontId="6" fillId="0" borderId="1" xfId="0" applyNumberFormat="1" applyFont="1" applyBorder="1"/>
    <xf numFmtId="166" fontId="6" fillId="0" borderId="47" xfId="0" applyNumberFormat="1" applyFont="1" applyBorder="1"/>
    <xf numFmtId="166" fontId="8" fillId="0" borderId="85" xfId="0" applyNumberFormat="1" applyFont="1" applyBorder="1"/>
    <xf numFmtId="166" fontId="6" fillId="0" borderId="0" xfId="0" applyNumberFormat="1" applyFont="1" applyBorder="1"/>
    <xf numFmtId="0" fontId="168" fillId="0" borderId="0" xfId="0" applyFont="1"/>
    <xf numFmtId="0" fontId="135" fillId="0" borderId="0" xfId="0" applyFont="1" applyAlignment="1">
      <alignment horizontal="center"/>
    </xf>
    <xf numFmtId="0" fontId="361" fillId="0" borderId="0" xfId="0" applyFont="1" applyFill="1" applyBorder="1" applyAlignment="1">
      <alignment horizontal="center" vertical="center"/>
    </xf>
    <xf numFmtId="0" fontId="45" fillId="12" borderId="1" xfId="0" applyFont="1" applyFill="1" applyBorder="1" applyAlignment="1">
      <alignment horizontal="center"/>
    </xf>
    <xf numFmtId="0" fontId="405" fillId="12" borderId="1" xfId="0" applyFont="1" applyFill="1" applyBorder="1" applyAlignment="1">
      <alignment horizontal="center"/>
    </xf>
    <xf numFmtId="49" fontId="32" fillId="0" borderId="0" xfId="0" applyNumberFormat="1" applyFont="1" applyBorder="1" applyAlignment="1">
      <alignment horizontal="left"/>
    </xf>
    <xf numFmtId="166" fontId="5" fillId="0" borderId="0" xfId="0" applyNumberFormat="1" applyFont="1" applyAlignment="1">
      <alignment vertical="center"/>
    </xf>
    <xf numFmtId="0" fontId="5" fillId="0" borderId="1" xfId="0" applyFont="1" applyBorder="1" applyAlignment="1">
      <alignment horizontal="center" vertical="center"/>
    </xf>
    <xf numFmtId="16" fontId="32" fillId="0" borderId="0" xfId="0" applyNumberFormat="1" applyFont="1" applyFill="1" applyBorder="1"/>
    <xf numFmtId="204" fontId="18" fillId="0" borderId="0" xfId="0" applyNumberFormat="1" applyFont="1" applyFill="1" applyBorder="1" applyAlignment="1">
      <alignment horizontal="center"/>
    </xf>
    <xf numFmtId="0" fontId="179" fillId="0" borderId="73" xfId="0" applyFont="1" applyFill="1" applyBorder="1" applyAlignment="1">
      <alignment horizontal="center" vertical="center"/>
    </xf>
    <xf numFmtId="0" fontId="179" fillId="0" borderId="0" xfId="0" applyFont="1" applyFill="1" applyBorder="1" applyAlignment="1">
      <alignment horizontal="center" vertical="center"/>
    </xf>
    <xf numFmtId="49" fontId="419" fillId="0" borderId="1" xfId="0" applyNumberFormat="1" applyFont="1" applyBorder="1" applyAlignment="1">
      <alignment horizontal="center"/>
    </xf>
    <xf numFmtId="49" fontId="419" fillId="0" borderId="30" xfId="0" applyNumberFormat="1" applyFont="1" applyBorder="1" applyAlignment="1">
      <alignment horizontal="center"/>
    </xf>
    <xf numFmtId="49" fontId="419" fillId="0" borderId="136" xfId="0" applyNumberFormat="1" applyFont="1" applyBorder="1" applyAlignment="1">
      <alignment horizontal="center"/>
    </xf>
    <xf numFmtId="0" fontId="221" fillId="0" borderId="73" xfId="0" applyFont="1" applyFill="1" applyBorder="1" applyAlignment="1">
      <alignment horizontal="center" vertical="center"/>
    </xf>
    <xf numFmtId="0" fontId="46" fillId="0" borderId="0" xfId="0" applyFont="1" applyFill="1" applyBorder="1" applyAlignment="1">
      <alignment horizontal="center" vertical="center"/>
    </xf>
    <xf numFmtId="0" fontId="420" fillId="0" borderId="0" xfId="0" applyFont="1" applyFill="1" applyBorder="1" applyAlignment="1">
      <alignment horizontal="left" vertical="center"/>
    </xf>
    <xf numFmtId="181" fontId="0" fillId="0" borderId="46" xfId="0" applyNumberFormat="1" applyBorder="1" applyAlignment="1">
      <alignment horizontal="center"/>
    </xf>
    <xf numFmtId="0" fontId="0" fillId="0" borderId="46" xfId="0" applyBorder="1" applyAlignment="1">
      <alignment horizontal="center"/>
    </xf>
    <xf numFmtId="0" fontId="32" fillId="0" borderId="73" xfId="0" applyFont="1" applyBorder="1" applyAlignment="1">
      <alignment horizontal="center" vertical="center"/>
    </xf>
    <xf numFmtId="0" fontId="421" fillId="0" borderId="107" xfId="0" applyFont="1" applyFill="1" applyBorder="1" applyAlignment="1">
      <alignment horizontal="left" vertical="center" indent="1"/>
    </xf>
    <xf numFmtId="0" fontId="22" fillId="0" borderId="1" xfId="0" applyFont="1" applyBorder="1" applyAlignment="1">
      <alignment horizontal="left"/>
    </xf>
    <xf numFmtId="0" fontId="422" fillId="0" borderId="0" xfId="0" applyFont="1" applyBorder="1" applyAlignment="1">
      <alignment horizontal="center"/>
    </xf>
    <xf numFmtId="0" fontId="423" fillId="0" borderId="0" xfId="0" applyFont="1" applyBorder="1" applyAlignment="1">
      <alignment horizontal="left" vertical="center"/>
    </xf>
    <xf numFmtId="209" fontId="13" fillId="0" borderId="1" xfId="0" applyNumberFormat="1" applyFont="1" applyBorder="1" applyAlignment="1">
      <alignment horizontal="center" vertical="center"/>
    </xf>
    <xf numFmtId="183" fontId="13" fillId="0" borderId="1" xfId="0" applyNumberFormat="1" applyFont="1" applyBorder="1" applyAlignment="1">
      <alignment horizontal="center" vertical="center"/>
    </xf>
    <xf numFmtId="16" fontId="424" fillId="10" borderId="139" xfId="0" applyNumberFormat="1" applyFont="1" applyFill="1" applyBorder="1" applyAlignment="1">
      <alignment wrapText="1"/>
    </xf>
    <xf numFmtId="0" fontId="424" fillId="10" borderId="139" xfId="0" applyFont="1" applyFill="1" applyBorder="1" applyAlignment="1">
      <alignment horizontal="left" wrapText="1"/>
    </xf>
    <xf numFmtId="166" fontId="424" fillId="10" borderId="139" xfId="0" applyNumberFormat="1" applyFont="1" applyFill="1" applyBorder="1" applyAlignment="1">
      <alignment horizontal="right" wrapText="1"/>
    </xf>
    <xf numFmtId="166" fontId="268" fillId="10" borderId="139" xfId="0" applyNumberFormat="1" applyFont="1" applyFill="1" applyBorder="1" applyAlignment="1">
      <alignment horizontal="right" wrapText="1"/>
    </xf>
    <xf numFmtId="0" fontId="424" fillId="10" borderId="0" xfId="0" applyFont="1" applyFill="1" applyBorder="1" applyAlignment="1">
      <alignment horizontal="left" wrapText="1"/>
    </xf>
    <xf numFmtId="14" fontId="103" fillId="0" borderId="0" xfId="0" applyNumberFormat="1" applyFont="1" applyAlignment="1">
      <alignment horizontal="center"/>
    </xf>
    <xf numFmtId="0" fontId="10" fillId="0" borderId="0" xfId="0" quotePrefix="1" applyFont="1" applyAlignment="1">
      <alignment horizontal="center" vertical="center"/>
    </xf>
    <xf numFmtId="210" fontId="10" fillId="0" borderId="0" xfId="0" applyNumberFormat="1" applyFont="1" applyAlignment="1">
      <alignment horizontal="center" vertical="center"/>
    </xf>
    <xf numFmtId="0" fontId="10" fillId="0" borderId="0" xfId="0" applyFont="1" applyAlignment="1">
      <alignment horizontal="left" vertical="center"/>
    </xf>
    <xf numFmtId="0" fontId="71" fillId="0" borderId="0" xfId="0" applyFont="1" applyAlignment="1">
      <alignment horizontal="left" vertical="center"/>
    </xf>
    <xf numFmtId="0" fontId="71" fillId="0" borderId="0" xfId="0" quotePrefix="1" applyFont="1" applyAlignment="1">
      <alignment horizontal="center" vertical="center"/>
    </xf>
    <xf numFmtId="14" fontId="10" fillId="0" borderId="0" xfId="5" applyNumberFormat="1" applyFont="1" applyAlignment="1">
      <alignment horizontal="center" vertical="center"/>
    </xf>
    <xf numFmtId="166" fontId="10" fillId="0" borderId="0" xfId="5" applyNumberFormat="1" applyFont="1" applyAlignment="1">
      <alignment horizontal="center" vertical="center"/>
    </xf>
    <xf numFmtId="14" fontId="71" fillId="0" borderId="0" xfId="5" applyNumberFormat="1" applyFont="1" applyAlignment="1">
      <alignment horizontal="center" vertical="center"/>
    </xf>
    <xf numFmtId="165" fontId="364" fillId="0" borderId="0" xfId="0" applyNumberFormat="1" applyFont="1" applyAlignment="1">
      <alignment horizontal="center"/>
    </xf>
    <xf numFmtId="0" fontId="10" fillId="0" borderId="0" xfId="0" applyFont="1" applyFill="1" applyAlignment="1">
      <alignment vertical="center"/>
    </xf>
    <xf numFmtId="14" fontId="10" fillId="0" borderId="0" xfId="5" applyNumberFormat="1" applyFont="1" applyFill="1" applyAlignment="1">
      <alignment horizontal="center" vertical="center"/>
    </xf>
    <xf numFmtId="0" fontId="10" fillId="0" borderId="0" xfId="0" quotePrefix="1" applyFont="1" applyFill="1" applyAlignment="1">
      <alignment horizontal="center" vertical="center"/>
    </xf>
    <xf numFmtId="0" fontId="10" fillId="0" borderId="0" xfId="0" applyFont="1" applyFill="1" applyAlignment="1">
      <alignment horizontal="left" vertical="center"/>
    </xf>
    <xf numFmtId="0" fontId="0" fillId="0" borderId="0" xfId="0" applyAlignment="1">
      <alignment horizontal="right"/>
    </xf>
    <xf numFmtId="14" fontId="0" fillId="0" borderId="0" xfId="0" applyNumberFormat="1" applyAlignment="1">
      <alignment horizontal="left"/>
    </xf>
    <xf numFmtId="211" fontId="8" fillId="0" borderId="0" xfId="0" applyNumberFormat="1" applyFont="1" applyAlignment="1">
      <alignment horizontal="center"/>
    </xf>
    <xf numFmtId="0" fontId="427" fillId="0" borderId="0" xfId="0" applyFont="1" applyBorder="1" applyAlignment="1">
      <alignment horizontal="left"/>
    </xf>
    <xf numFmtId="0" fontId="19" fillId="0" borderId="0" xfId="0" applyFont="1" applyAlignment="1">
      <alignment vertical="center"/>
    </xf>
    <xf numFmtId="0" fontId="18" fillId="0" borderId="0" xfId="0" applyFont="1" applyFill="1" applyBorder="1" applyAlignment="1">
      <alignment horizontal="left"/>
    </xf>
    <xf numFmtId="205" fontId="13" fillId="0" borderId="0" xfId="0" applyNumberFormat="1" applyFont="1" applyAlignment="1">
      <alignment horizontal="center"/>
    </xf>
    <xf numFmtId="0" fontId="0" fillId="0" borderId="0" xfId="0" applyNumberFormat="1" applyAlignment="1">
      <alignment horizontal="right"/>
    </xf>
    <xf numFmtId="205" fontId="5" fillId="0" borderId="0" xfId="0" applyNumberFormat="1" applyFont="1" applyAlignment="1">
      <alignment horizontal="center"/>
    </xf>
    <xf numFmtId="188" fontId="13" fillId="0" borderId="0" xfId="0" applyNumberFormat="1" applyFont="1" applyAlignment="1">
      <alignment horizontal="center"/>
    </xf>
    <xf numFmtId="0" fontId="155" fillId="0" borderId="0" xfId="0" applyFont="1" applyAlignment="1">
      <alignment horizontal="left"/>
    </xf>
    <xf numFmtId="0" fontId="210" fillId="0" borderId="0" xfId="0" applyFont="1" applyAlignment="1">
      <alignment horizontal="left"/>
    </xf>
    <xf numFmtId="178" fontId="0" fillId="0" borderId="0" xfId="0" applyNumberFormat="1"/>
    <xf numFmtId="0" fontId="106" fillId="0" borderId="0" xfId="0" applyFont="1" applyAlignment="1">
      <alignment horizontal="center"/>
    </xf>
    <xf numFmtId="0" fontId="428" fillId="0" borderId="0" xfId="0" applyNumberFormat="1" applyFont="1" applyAlignment="1">
      <alignment horizontal="center"/>
    </xf>
    <xf numFmtId="0" fontId="428" fillId="0" borderId="0" xfId="0" applyFont="1" applyAlignment="1">
      <alignment horizontal="left"/>
    </xf>
    <xf numFmtId="0" fontId="428" fillId="0" borderId="0" xfId="0" applyFont="1" applyAlignment="1">
      <alignment horizontal="center"/>
    </xf>
    <xf numFmtId="166" fontId="106" fillId="0" borderId="0" xfId="0" applyNumberFormat="1" applyFont="1" applyAlignment="1">
      <alignment horizontal="center"/>
    </xf>
    <xf numFmtId="165" fontId="428" fillId="0" borderId="0" xfId="0" applyNumberFormat="1" applyFont="1" applyAlignment="1">
      <alignment horizontal="center"/>
    </xf>
    <xf numFmtId="0" fontId="0" fillId="0" borderId="0" xfId="0" applyNumberFormat="1" applyAlignment="1">
      <alignment horizontal="left"/>
    </xf>
    <xf numFmtId="166" fontId="13" fillId="0" borderId="0" xfId="0" applyNumberFormat="1" applyFont="1" applyAlignment="1">
      <alignment horizontal="left"/>
    </xf>
    <xf numFmtId="166" fontId="13" fillId="0" borderId="0" xfId="0" applyNumberFormat="1" applyFont="1" applyAlignment="1">
      <alignment horizontal="right"/>
    </xf>
    <xf numFmtId="166" fontId="26" fillId="0" borderId="0" xfId="0" applyNumberFormat="1" applyFont="1" applyAlignment="1">
      <alignment horizontal="left"/>
    </xf>
    <xf numFmtId="166" fontId="26" fillId="0" borderId="0" xfId="0" applyNumberFormat="1" applyFont="1" applyAlignment="1">
      <alignment horizontal="right"/>
    </xf>
    <xf numFmtId="0" fontId="26" fillId="0" borderId="0" xfId="0" applyNumberFormat="1" applyFont="1" applyAlignment="1">
      <alignment horizontal="left"/>
    </xf>
    <xf numFmtId="0" fontId="431" fillId="0" borderId="0" xfId="0" applyFont="1" applyAlignment="1">
      <alignment horizontal="center"/>
    </xf>
    <xf numFmtId="0" fontId="431" fillId="0" borderId="0" xfId="0" applyFont="1" applyAlignment="1">
      <alignment horizontal="center"/>
    </xf>
    <xf numFmtId="0" fontId="431" fillId="0" borderId="0" xfId="0" applyFont="1"/>
    <xf numFmtId="166" fontId="431" fillId="0" borderId="0" xfId="0" applyNumberFormat="1" applyFont="1" applyAlignment="1">
      <alignment horizontal="center"/>
    </xf>
    <xf numFmtId="0" fontId="2" fillId="0" borderId="0" xfId="0" applyFont="1"/>
    <xf numFmtId="0" fontId="155" fillId="0" borderId="36" xfId="0" applyFont="1" applyBorder="1" applyAlignment="1">
      <alignment horizontal="left"/>
    </xf>
    <xf numFmtId="0" fontId="344" fillId="0" borderId="36" xfId="0" applyFont="1" applyBorder="1" applyAlignment="1">
      <alignment horizontal="center"/>
    </xf>
    <xf numFmtId="166" fontId="0" fillId="0" borderId="37" xfId="0" applyNumberFormat="1" applyBorder="1"/>
    <xf numFmtId="188" fontId="4" fillId="0" borderId="27" xfId="0" applyNumberFormat="1" applyFont="1" applyBorder="1" applyAlignment="1">
      <alignment horizontal="center"/>
    </xf>
    <xf numFmtId="0" fontId="344" fillId="0" borderId="0" xfId="0" applyFont="1" applyBorder="1" applyAlignment="1">
      <alignment horizontal="center"/>
    </xf>
    <xf numFmtId="166" fontId="0" fillId="0" borderId="38" xfId="0" applyNumberFormat="1" applyBorder="1"/>
    <xf numFmtId="165" fontId="53" fillId="0" borderId="38" xfId="0" applyNumberFormat="1" applyFont="1" applyBorder="1"/>
    <xf numFmtId="49" fontId="4" fillId="0" borderId="27" xfId="0" applyNumberFormat="1" applyFont="1" applyBorder="1" applyAlignment="1">
      <alignment horizontal="center"/>
    </xf>
    <xf numFmtId="0" fontId="75" fillId="0" borderId="0" xfId="0" applyFont="1" applyBorder="1" applyAlignment="1">
      <alignment horizontal="center" wrapText="1"/>
    </xf>
    <xf numFmtId="212" fontId="22" fillId="0" borderId="19" xfId="0" applyNumberFormat="1" applyFont="1" applyFill="1" applyBorder="1" applyAlignment="1">
      <alignment horizontal="center"/>
    </xf>
    <xf numFmtId="212" fontId="22" fillId="0" borderId="1" xfId="0" applyNumberFormat="1" applyFont="1" applyFill="1" applyBorder="1" applyAlignment="1">
      <alignment horizontal="center"/>
    </xf>
    <xf numFmtId="0" fontId="8" fillId="0" borderId="35" xfId="0" applyFont="1" applyFill="1" applyBorder="1" applyAlignment="1">
      <alignment horizontal="center"/>
    </xf>
    <xf numFmtId="212" fontId="22" fillId="0" borderId="30" xfId="0" applyNumberFormat="1" applyFont="1" applyFill="1" applyBorder="1" applyAlignment="1">
      <alignment horizontal="center"/>
    </xf>
    <xf numFmtId="0" fontId="22" fillId="0" borderId="30" xfId="0" applyNumberFormat="1" applyFont="1" applyFill="1" applyBorder="1" applyAlignment="1">
      <alignment horizontal="center"/>
    </xf>
    <xf numFmtId="0" fontId="406" fillId="0" borderId="30" xfId="0" applyNumberFormat="1" applyFont="1" applyBorder="1" applyAlignment="1">
      <alignment horizontal="center"/>
    </xf>
    <xf numFmtId="0" fontId="405" fillId="0" borderId="0" xfId="0" applyFont="1" applyBorder="1" applyAlignment="1">
      <alignment horizontal="center"/>
    </xf>
    <xf numFmtId="0" fontId="406" fillId="0" borderId="0" xfId="0" applyFont="1" applyBorder="1" applyAlignment="1">
      <alignment horizontal="center"/>
    </xf>
    <xf numFmtId="0" fontId="8" fillId="0" borderId="0" xfId="0" applyFont="1" applyFill="1" applyBorder="1" applyAlignment="1">
      <alignment horizontal="center"/>
    </xf>
    <xf numFmtId="212" fontId="22" fillId="0" borderId="0" xfId="0" applyNumberFormat="1" applyFont="1" applyFill="1" applyBorder="1" applyAlignment="1">
      <alignment horizontal="center"/>
    </xf>
    <xf numFmtId="0" fontId="22" fillId="0" borderId="0" xfId="0" applyNumberFormat="1" applyFont="1" applyFill="1" applyBorder="1" applyAlignment="1">
      <alignment horizontal="center"/>
    </xf>
    <xf numFmtId="0" fontId="406" fillId="0" borderId="0" xfId="0" applyNumberFormat="1" applyFont="1" applyBorder="1" applyAlignment="1">
      <alignment horizontal="center"/>
    </xf>
    <xf numFmtId="212" fontId="22" fillId="0" borderId="32" xfId="0" applyNumberFormat="1" applyFont="1" applyFill="1" applyBorder="1" applyAlignment="1">
      <alignment horizontal="center"/>
    </xf>
    <xf numFmtId="0" fontId="432" fillId="0" borderId="0" xfId="0" applyFont="1" applyAlignment="1">
      <alignment horizontal="center"/>
    </xf>
    <xf numFmtId="0" fontId="433" fillId="0" borderId="0" xfId="0" applyFont="1"/>
    <xf numFmtId="0" fontId="433" fillId="0" borderId="1" xfId="0" applyFont="1" applyBorder="1" applyAlignment="1">
      <alignment horizontal="center"/>
    </xf>
    <xf numFmtId="0" fontId="433" fillId="0" borderId="32" xfId="0" applyFont="1" applyBorder="1" applyAlignment="1">
      <alignment horizontal="center"/>
    </xf>
    <xf numFmtId="213" fontId="433" fillId="0" borderId="19" xfId="0" applyNumberFormat="1" applyFont="1" applyBorder="1" applyAlignment="1">
      <alignment horizontal="center"/>
    </xf>
    <xf numFmtId="197" fontId="45" fillId="0" borderId="1" xfId="0" applyNumberFormat="1" applyFont="1" applyFill="1" applyBorder="1"/>
    <xf numFmtId="0" fontId="50" fillId="0" borderId="19" xfId="0" applyFont="1" applyBorder="1" applyAlignment="1">
      <alignment horizontal="center"/>
    </xf>
    <xf numFmtId="0" fontId="8" fillId="0" borderId="83" xfId="0" applyFont="1" applyFill="1" applyBorder="1" applyAlignment="1">
      <alignment horizontal="center"/>
    </xf>
    <xf numFmtId="0" fontId="405" fillId="0" borderId="25" xfId="0" applyFont="1" applyFill="1" applyBorder="1"/>
    <xf numFmtId="167" fontId="434" fillId="0" borderId="0" xfId="0" applyNumberFormat="1" applyFont="1" applyAlignment="1">
      <alignment horizontal="center"/>
    </xf>
    <xf numFmtId="167" fontId="434" fillId="0" borderId="0" xfId="0" applyNumberFormat="1" applyFont="1" applyBorder="1" applyAlignment="1">
      <alignment horizontal="center"/>
    </xf>
    <xf numFmtId="212" fontId="22" fillId="0" borderId="54" xfId="0" applyNumberFormat="1" applyFont="1" applyFill="1" applyBorder="1" applyAlignment="1">
      <alignment horizontal="center"/>
    </xf>
    <xf numFmtId="213" fontId="433" fillId="0" borderId="29" xfId="0" applyNumberFormat="1" applyFont="1" applyBorder="1" applyAlignment="1">
      <alignment horizontal="center"/>
    </xf>
    <xf numFmtId="197" fontId="45" fillId="0" borderId="54" xfId="0" applyNumberFormat="1" applyFont="1" applyFill="1" applyBorder="1"/>
    <xf numFmtId="0" fontId="171" fillId="0" borderId="84" xfId="0" applyFont="1" applyFill="1" applyBorder="1" applyAlignment="1">
      <alignment horizontal="center"/>
    </xf>
    <xf numFmtId="14" fontId="435" fillId="0" borderId="0" xfId="0" applyNumberFormat="1" applyFont="1"/>
    <xf numFmtId="197" fontId="28" fillId="0" borderId="3" xfId="0" applyNumberFormat="1" applyFont="1" applyFill="1" applyBorder="1"/>
    <xf numFmtId="197" fontId="28" fillId="0" borderId="1" xfId="0" applyNumberFormat="1" applyFont="1" applyFill="1" applyBorder="1"/>
    <xf numFmtId="197" fontId="362" fillId="0" borderId="32" xfId="0" applyNumberFormat="1" applyFont="1" applyFill="1" applyBorder="1"/>
    <xf numFmtId="197" fontId="426" fillId="0" borderId="19" xfId="0" applyNumberFormat="1" applyFont="1" applyFill="1" applyBorder="1"/>
    <xf numFmtId="197" fontId="362" fillId="0" borderId="1" xfId="0" applyNumberFormat="1" applyFont="1" applyFill="1" applyBorder="1"/>
    <xf numFmtId="197" fontId="426" fillId="0" borderId="1" xfId="0" applyNumberFormat="1" applyFont="1" applyFill="1" applyBorder="1"/>
    <xf numFmtId="197" fontId="316" fillId="0" borderId="1" xfId="0" applyNumberFormat="1" applyFont="1" applyFill="1" applyBorder="1"/>
    <xf numFmtId="166" fontId="0" fillId="0" borderId="0" xfId="0" applyNumberFormat="1" applyAlignment="1">
      <alignment horizontal="right"/>
    </xf>
    <xf numFmtId="0" fontId="7" fillId="0" borderId="83" xfId="0" applyNumberFormat="1" applyFont="1" applyBorder="1" applyAlignment="1">
      <alignment horizontal="left"/>
    </xf>
    <xf numFmtId="0" fontId="7" fillId="0" borderId="25" xfId="0" applyFont="1" applyBorder="1"/>
    <xf numFmtId="16" fontId="7" fillId="0" borderId="47" xfId="0" applyNumberFormat="1" applyFont="1" applyBorder="1"/>
    <xf numFmtId="165" fontId="8" fillId="0" borderId="19" xfId="7" applyFont="1" applyBorder="1"/>
    <xf numFmtId="166" fontId="5" fillId="0" borderId="19" xfId="0" applyNumberFormat="1" applyFont="1" applyBorder="1" applyAlignment="1">
      <alignment horizontal="center"/>
    </xf>
    <xf numFmtId="166" fontId="5" fillId="0" borderId="1" xfId="0" applyNumberFormat="1" applyFont="1" applyBorder="1" applyAlignment="1">
      <alignment horizontal="center"/>
    </xf>
    <xf numFmtId="166" fontId="5" fillId="0" borderId="47" xfId="0" applyNumberFormat="1" applyFont="1" applyBorder="1" applyAlignment="1">
      <alignment horizontal="center"/>
    </xf>
    <xf numFmtId="166" fontId="7" fillId="0" borderId="84" xfId="0" applyNumberFormat="1" applyFont="1" applyBorder="1" applyAlignment="1">
      <alignment horizontal="center"/>
    </xf>
    <xf numFmtId="214" fontId="0" fillId="0" borderId="19" xfId="0" applyNumberFormat="1" applyBorder="1" applyAlignment="1">
      <alignment horizontal="center"/>
    </xf>
    <xf numFmtId="214" fontId="0" fillId="0" borderId="1" xfId="0" applyNumberFormat="1" applyBorder="1" applyAlignment="1">
      <alignment horizontal="center"/>
    </xf>
    <xf numFmtId="165" fontId="7" fillId="0" borderId="19" xfId="7" applyFont="1" applyBorder="1"/>
    <xf numFmtId="165" fontId="8" fillId="0" borderId="0" xfId="7" applyFont="1" applyBorder="1"/>
    <xf numFmtId="0" fontId="52" fillId="0" borderId="47" xfId="0" applyFont="1" applyBorder="1" applyAlignment="1">
      <alignment horizontal="center"/>
    </xf>
    <xf numFmtId="0" fontId="274" fillId="0" borderId="19" xfId="0" applyFont="1" applyBorder="1"/>
    <xf numFmtId="204" fontId="290" fillId="0" borderId="1" xfId="5" applyNumberFormat="1" applyFont="1" applyFill="1" applyBorder="1" applyAlignment="1">
      <alignment horizontal="center" vertical="center"/>
    </xf>
    <xf numFmtId="0" fontId="52" fillId="0" borderId="19" xfId="0" applyFont="1" applyBorder="1"/>
    <xf numFmtId="166" fontId="437" fillId="0" borderId="0" xfId="0" applyNumberFormat="1" applyFont="1" applyAlignment="1">
      <alignment horizontal="center"/>
    </xf>
    <xf numFmtId="0" fontId="26" fillId="0" borderId="37" xfId="0" applyFont="1" applyBorder="1"/>
    <xf numFmtId="0" fontId="26" fillId="0" borderId="18" xfId="0" applyFont="1" applyBorder="1"/>
    <xf numFmtId="181" fontId="26" fillId="0" borderId="37" xfId="0" applyNumberFormat="1" applyFont="1" applyBorder="1"/>
    <xf numFmtId="166" fontId="32" fillId="0" borderId="38" xfId="5" applyFont="1" applyBorder="1"/>
    <xf numFmtId="166" fontId="5" fillId="0" borderId="72" xfId="0" applyNumberFormat="1" applyFont="1" applyBorder="1" applyAlignment="1">
      <alignment vertical="center"/>
    </xf>
    <xf numFmtId="166" fontId="26" fillId="0" borderId="140" xfId="0" applyNumberFormat="1" applyFont="1" applyBorder="1" applyAlignment="1">
      <alignment horizontal="left"/>
    </xf>
    <xf numFmtId="166" fontId="13" fillId="0" borderId="0" xfId="0" applyNumberFormat="1" applyFont="1" applyBorder="1" applyAlignment="1">
      <alignment horizontal="right"/>
    </xf>
    <xf numFmtId="166" fontId="14" fillId="0" borderId="0" xfId="5" applyNumberFormat="1" applyFont="1" applyBorder="1" applyAlignment="1">
      <alignment horizontal="left" vertical="center"/>
    </xf>
    <xf numFmtId="166" fontId="5" fillId="0" borderId="73" xfId="0" applyNumberFormat="1" applyFont="1" applyBorder="1" applyAlignment="1">
      <alignment vertical="center"/>
    </xf>
    <xf numFmtId="166" fontId="26" fillId="2" borderId="108" xfId="0" applyNumberFormat="1" applyFont="1" applyFill="1" applyBorder="1" applyAlignment="1">
      <alignment horizontal="left"/>
    </xf>
    <xf numFmtId="166" fontId="26" fillId="0" borderId="53" xfId="0" applyNumberFormat="1" applyFont="1" applyBorder="1" applyAlignment="1">
      <alignment horizontal="left"/>
    </xf>
    <xf numFmtId="0" fontId="370" fillId="0" borderId="0" xfId="0" applyFont="1" applyBorder="1" applyAlignment="1">
      <alignment horizontal="center"/>
    </xf>
    <xf numFmtId="0" fontId="32" fillId="0" borderId="62" xfId="0" applyNumberFormat="1" applyFont="1" applyBorder="1" applyAlignment="1">
      <alignment horizontal="center"/>
    </xf>
    <xf numFmtId="166" fontId="14" fillId="0" borderId="62" xfId="5" applyNumberFormat="1" applyFont="1" applyBorder="1" applyAlignment="1">
      <alignment horizontal="left" vertical="center"/>
    </xf>
    <xf numFmtId="166" fontId="5" fillId="0" borderId="60" xfId="0" applyNumberFormat="1" applyFont="1" applyBorder="1" applyAlignment="1">
      <alignment vertical="center"/>
    </xf>
    <xf numFmtId="0" fontId="32" fillId="0" borderId="107" xfId="0" applyNumberFormat="1" applyFont="1" applyBorder="1" applyAlignment="1">
      <alignment horizontal="center"/>
    </xf>
    <xf numFmtId="14" fontId="191" fillId="0" borderId="45" xfId="5" applyNumberFormat="1" applyFont="1" applyBorder="1" applyAlignment="1">
      <alignment horizontal="left" vertical="center"/>
    </xf>
    <xf numFmtId="166" fontId="6" fillId="0" borderId="85" xfId="0" applyNumberFormat="1" applyFont="1" applyBorder="1" applyAlignment="1">
      <alignment vertical="center"/>
    </xf>
    <xf numFmtId="166" fontId="344" fillId="0" borderId="38" xfId="0" applyNumberFormat="1" applyFont="1" applyBorder="1" applyAlignment="1">
      <alignment horizontal="center"/>
    </xf>
    <xf numFmtId="166" fontId="436" fillId="14" borderId="85" xfId="0" applyNumberFormat="1" applyFont="1" applyFill="1" applyBorder="1" applyAlignment="1">
      <alignment horizontal="center"/>
    </xf>
    <xf numFmtId="166" fontId="7" fillId="0" borderId="48" xfId="0" applyNumberFormat="1" applyFont="1" applyBorder="1" applyAlignment="1">
      <alignment horizontal="left"/>
    </xf>
    <xf numFmtId="49" fontId="0" fillId="0" borderId="0" xfId="0" applyNumberFormat="1" applyBorder="1" applyAlignment="1">
      <alignment horizontal="left"/>
    </xf>
    <xf numFmtId="166" fontId="0" fillId="0" borderId="0" xfId="5" applyFont="1" applyBorder="1" applyAlignment="1">
      <alignment horizontal="center"/>
    </xf>
    <xf numFmtId="0" fontId="360" fillId="0" borderId="1" xfId="0" applyFont="1" applyFill="1" applyBorder="1" applyAlignment="1">
      <alignment horizontal="center"/>
    </xf>
    <xf numFmtId="0" fontId="4" fillId="0" borderId="1" xfId="0" applyFont="1" applyFill="1" applyBorder="1" applyAlignment="1">
      <alignment horizontal="center"/>
    </xf>
    <xf numFmtId="204" fontId="18" fillId="0" borderId="1" xfId="0" applyNumberFormat="1" applyFont="1" applyFill="1" applyBorder="1" applyAlignment="1">
      <alignment horizontal="center"/>
    </xf>
    <xf numFmtId="14" fontId="5" fillId="0" borderId="0" xfId="0" applyNumberFormat="1" applyFont="1" applyAlignment="1">
      <alignment vertical="center"/>
    </xf>
    <xf numFmtId="0" fontId="361" fillId="0" borderId="108" xfId="0" applyFont="1" applyBorder="1" applyAlignment="1">
      <alignment horizontal="center"/>
    </xf>
    <xf numFmtId="204" fontId="18" fillId="0" borderId="108" xfId="5" applyNumberFormat="1" applyFont="1" applyFill="1" applyBorder="1" applyAlignment="1">
      <alignment horizontal="center" vertical="center"/>
    </xf>
    <xf numFmtId="0" fontId="438" fillId="0" borderId="73" xfId="0" applyFont="1" applyBorder="1" applyAlignment="1">
      <alignment horizontal="center" vertical="center"/>
    </xf>
    <xf numFmtId="165" fontId="32" fillId="0" borderId="38" xfId="0" applyNumberFormat="1" applyFont="1" applyBorder="1"/>
    <xf numFmtId="0" fontId="10" fillId="0" borderId="0" xfId="0" applyFont="1" applyBorder="1" applyAlignment="1">
      <alignment horizontal="center" vertical="center"/>
    </xf>
    <xf numFmtId="0" fontId="7" fillId="0" borderId="48" xfId="0" applyFont="1" applyBorder="1" applyAlignment="1">
      <alignment horizontal="center"/>
    </xf>
    <xf numFmtId="0" fontId="279" fillId="0" borderId="1" xfId="0" applyFont="1" applyFill="1" applyBorder="1" applyAlignment="1">
      <alignment horizontal="left" vertical="center"/>
    </xf>
    <xf numFmtId="0" fontId="360" fillId="0" borderId="2" xfId="0" applyFont="1" applyFill="1" applyBorder="1" applyAlignment="1">
      <alignment horizontal="center"/>
    </xf>
    <xf numFmtId="0" fontId="4" fillId="0" borderId="3" xfId="0" applyFont="1" applyFill="1" applyBorder="1" applyAlignment="1">
      <alignment horizontal="center"/>
    </xf>
    <xf numFmtId="204" fontId="18" fillId="0" borderId="3" xfId="0" applyNumberFormat="1" applyFont="1" applyFill="1" applyBorder="1" applyAlignment="1">
      <alignment horizontal="center"/>
    </xf>
    <xf numFmtId="0" fontId="179" fillId="0" borderId="7" xfId="0" applyFont="1" applyFill="1" applyBorder="1" applyAlignment="1">
      <alignment horizontal="center" vertical="center"/>
    </xf>
    <xf numFmtId="169" fontId="279" fillId="7" borderId="48" xfId="0" applyNumberFormat="1" applyFont="1" applyFill="1" applyBorder="1" applyAlignment="1">
      <alignment horizontal="center" vertical="center" wrapText="1" shrinkToFit="1"/>
    </xf>
    <xf numFmtId="0" fontId="361" fillId="0" borderId="83" xfId="0" applyFont="1" applyFill="1" applyBorder="1" applyAlignment="1">
      <alignment horizontal="center" vertical="center"/>
    </xf>
    <xf numFmtId="204" fontId="290" fillId="0" borderId="84" xfId="5" applyNumberFormat="1" applyFont="1" applyFill="1" applyBorder="1" applyAlignment="1">
      <alignment horizontal="center" vertical="center"/>
    </xf>
    <xf numFmtId="0" fontId="221" fillId="0" borderId="25" xfId="0" applyFont="1" applyFill="1" applyBorder="1" applyAlignment="1">
      <alignment horizontal="center" vertical="center"/>
    </xf>
    <xf numFmtId="0" fontId="279" fillId="0" borderId="84" xfId="0" applyFont="1" applyFill="1" applyBorder="1" applyAlignment="1">
      <alignment horizontal="left" vertical="center"/>
    </xf>
    <xf numFmtId="0" fontId="361" fillId="0" borderId="8" xfId="0" applyFont="1" applyFill="1" applyBorder="1" applyAlignment="1">
      <alignment horizontal="center"/>
    </xf>
    <xf numFmtId="0" fontId="221" fillId="0" borderId="9" xfId="0" applyFont="1" applyFill="1" applyBorder="1" applyAlignment="1">
      <alignment horizontal="center" vertical="center"/>
    </xf>
    <xf numFmtId="0" fontId="360" fillId="0" borderId="4" xfId="0" applyFont="1" applyFill="1" applyBorder="1" applyAlignment="1">
      <alignment horizontal="center"/>
    </xf>
    <xf numFmtId="0" fontId="4" fillId="0" borderId="5" xfId="0" applyFont="1" applyFill="1" applyBorder="1" applyAlignment="1">
      <alignment horizontal="center"/>
    </xf>
    <xf numFmtId="204" fontId="18" fillId="0" borderId="5" xfId="0" applyNumberFormat="1" applyFont="1" applyFill="1" applyBorder="1" applyAlignment="1">
      <alignment horizontal="center"/>
    </xf>
    <xf numFmtId="0" fontId="179" fillId="0" borderId="6" xfId="0" applyFont="1" applyFill="1" applyBorder="1" applyAlignment="1">
      <alignment horizontal="center" vertical="center"/>
    </xf>
    <xf numFmtId="0" fontId="441" fillId="0" borderId="53" xfId="0" applyFont="1" applyFill="1" applyBorder="1" applyAlignment="1">
      <alignment horizontal="center" vertical="center"/>
    </xf>
    <xf numFmtId="0" fontId="442" fillId="0" borderId="29" xfId="0" applyFont="1" applyFill="1" applyBorder="1" applyAlignment="1">
      <alignment horizontal="left" vertical="center"/>
    </xf>
    <xf numFmtId="204" fontId="443" fillId="0" borderId="53" xfId="5" applyNumberFormat="1" applyFont="1" applyFill="1" applyBorder="1" applyAlignment="1">
      <alignment horizontal="center" vertical="center"/>
    </xf>
    <xf numFmtId="0" fontId="444" fillId="0" borderId="71" xfId="0" applyFont="1" applyBorder="1" applyAlignment="1">
      <alignment horizontal="center" vertical="center"/>
    </xf>
    <xf numFmtId="0" fontId="445" fillId="0" borderId="29" xfId="0" applyFont="1" applyBorder="1" applyAlignment="1">
      <alignment horizontal="center" vertical="center"/>
    </xf>
    <xf numFmtId="0" fontId="446" fillId="0" borderId="71" xfId="0" applyFont="1" applyBorder="1" applyAlignment="1">
      <alignment horizontal="center" vertical="center"/>
    </xf>
    <xf numFmtId="0" fontId="441" fillId="0" borderId="0" xfId="0" applyFont="1" applyBorder="1" applyAlignment="1">
      <alignment horizontal="center"/>
    </xf>
    <xf numFmtId="0" fontId="447" fillId="0" borderId="0" xfId="0" applyFont="1" applyBorder="1" applyAlignment="1">
      <alignment horizontal="left" vertical="center"/>
    </xf>
    <xf numFmtId="204" fontId="443" fillId="0" borderId="108" xfId="5" applyNumberFormat="1" applyFont="1" applyFill="1" applyBorder="1" applyAlignment="1">
      <alignment horizontal="center" vertical="center"/>
    </xf>
    <xf numFmtId="0" fontId="446" fillId="0" borderId="73" xfId="0" applyFont="1" applyBorder="1" applyAlignment="1">
      <alignment horizontal="center" vertical="center"/>
    </xf>
    <xf numFmtId="0" fontId="448" fillId="0" borderId="73" xfId="0" applyFont="1" applyBorder="1" applyAlignment="1">
      <alignment horizontal="center" vertical="center"/>
    </xf>
    <xf numFmtId="0" fontId="448" fillId="0" borderId="0" xfId="0" applyFont="1" applyBorder="1" applyAlignment="1">
      <alignment horizontal="center" vertical="center"/>
    </xf>
    <xf numFmtId="215" fontId="0" fillId="0" borderId="0" xfId="0" applyNumberFormat="1"/>
    <xf numFmtId="2" fontId="17" fillId="0" borderId="0" xfId="0" applyNumberFormat="1" applyFont="1" applyAlignment="1">
      <alignment horizontal="center"/>
    </xf>
    <xf numFmtId="0" fontId="360" fillId="17" borderId="0" xfId="0" applyFont="1" applyFill="1" applyBorder="1" applyAlignment="1">
      <alignment horizontal="center"/>
    </xf>
    <xf numFmtId="0" fontId="0" fillId="0" borderId="0" xfId="0" applyAlignment="1">
      <alignment wrapText="1"/>
    </xf>
    <xf numFmtId="0" fontId="52" fillId="0" borderId="65" xfId="0" applyFont="1" applyBorder="1" applyAlignment="1">
      <alignment horizontal="center" vertical="center" wrapText="1" shrinkToFit="1"/>
    </xf>
    <xf numFmtId="49" fontId="13" fillId="0" borderId="0" xfId="0" applyNumberFormat="1" applyFont="1" applyAlignment="1">
      <alignment horizontal="center"/>
    </xf>
    <xf numFmtId="0" fontId="13" fillId="0" borderId="11" xfId="0" applyFont="1" applyFill="1" applyBorder="1" applyAlignment="1">
      <alignment horizontal="center" vertical="center"/>
    </xf>
    <xf numFmtId="0" fontId="0" fillId="0" borderId="0" xfId="0" applyAlignment="1">
      <alignment horizontal="center"/>
    </xf>
    <xf numFmtId="166" fontId="7" fillId="0" borderId="0" xfId="5" applyFont="1" applyAlignment="1">
      <alignment horizontal="center"/>
    </xf>
    <xf numFmtId="166" fontId="0" fillId="0" borderId="0" xfId="5" applyFont="1" applyAlignment="1">
      <alignment horizontal="right"/>
    </xf>
    <xf numFmtId="166" fontId="8" fillId="0" borderId="0" xfId="5" applyFont="1" applyAlignment="1">
      <alignment horizontal="right"/>
    </xf>
    <xf numFmtId="166" fontId="0" fillId="0" borderId="0" xfId="5" applyFont="1" applyAlignment="1"/>
    <xf numFmtId="43" fontId="13" fillId="0" borderId="0" xfId="0" applyNumberFormat="1" applyFont="1"/>
    <xf numFmtId="166" fontId="456" fillId="19" borderId="39" xfId="5" applyFont="1" applyFill="1" applyBorder="1" applyAlignment="1">
      <alignment horizontal="center"/>
    </xf>
    <xf numFmtId="166" fontId="456" fillId="19" borderId="40" xfId="5" applyFont="1" applyFill="1" applyBorder="1" applyAlignment="1">
      <alignment horizontal="center"/>
    </xf>
    <xf numFmtId="166" fontId="457" fillId="19" borderId="61" xfId="5" applyFont="1" applyFill="1" applyBorder="1" applyAlignment="1">
      <alignment horizontal="center"/>
    </xf>
    <xf numFmtId="166" fontId="0" fillId="0" borderId="0" xfId="0" applyNumberFormat="1" applyAlignment="1">
      <alignment horizontal="center"/>
    </xf>
    <xf numFmtId="41" fontId="0" fillId="0" borderId="9" xfId="0" applyNumberFormat="1" applyBorder="1"/>
    <xf numFmtId="41" fontId="0" fillId="0" borderId="6" xfId="0" applyNumberFormat="1" applyBorder="1"/>
    <xf numFmtId="0" fontId="7" fillId="0" borderId="0" xfId="0" applyFont="1" applyAlignment="1">
      <alignment horizontal="center"/>
    </xf>
    <xf numFmtId="14" fontId="0" fillId="0" borderId="0" xfId="0" applyNumberFormat="1" applyAlignment="1">
      <alignment horizontal="center"/>
    </xf>
    <xf numFmtId="0" fontId="456" fillId="0" borderId="0" xfId="0" applyFont="1" applyAlignment="1"/>
    <xf numFmtId="14" fontId="456" fillId="0" borderId="0" xfId="0" applyNumberFormat="1" applyFont="1" applyAlignment="1"/>
    <xf numFmtId="0" fontId="459" fillId="0" borderId="0" xfId="0" applyFont="1" applyAlignment="1"/>
    <xf numFmtId="14" fontId="461" fillId="0" borderId="7" xfId="0" applyNumberFormat="1" applyFont="1" applyBorder="1" applyAlignment="1">
      <alignment horizontal="center" vertical="center" shrinkToFit="1"/>
    </xf>
    <xf numFmtId="0" fontId="461" fillId="0" borderId="0" xfId="0" applyFont="1" applyAlignment="1">
      <alignment horizontal="center" vertical="center" shrinkToFit="1"/>
    </xf>
    <xf numFmtId="41" fontId="0" fillId="0" borderId="0" xfId="0" applyNumberFormat="1" applyFill="1" applyBorder="1" applyAlignment="1"/>
    <xf numFmtId="0" fontId="5" fillId="0" borderId="0" xfId="0" applyFont="1" applyFill="1" applyBorder="1" applyAlignment="1">
      <alignment vertical="center"/>
    </xf>
    <xf numFmtId="43" fontId="0" fillId="0" borderId="0" xfId="0" applyNumberFormat="1" applyFill="1" applyBorder="1" applyAlignment="1">
      <alignment horizontal="center"/>
    </xf>
    <xf numFmtId="0" fontId="7" fillId="0" borderId="0" xfId="0" applyFont="1" applyAlignment="1">
      <alignment horizontal="center"/>
    </xf>
    <xf numFmtId="0" fontId="0" fillId="0" borderId="0" xfId="0" applyAlignment="1">
      <alignment horizontal="center"/>
    </xf>
    <xf numFmtId="0" fontId="13" fillId="0" borderId="1" xfId="0" applyFont="1" applyFill="1" applyBorder="1" applyAlignment="1">
      <alignment horizontal="center"/>
    </xf>
    <xf numFmtId="0" fontId="179" fillId="0" borderId="1" xfId="0" applyFont="1" applyFill="1" applyBorder="1" applyAlignment="1">
      <alignment horizontal="center" vertical="center"/>
    </xf>
    <xf numFmtId="0" fontId="430" fillId="0" borderId="1" xfId="0" applyFont="1" applyFill="1" applyBorder="1" applyAlignment="1">
      <alignment horizontal="center"/>
    </xf>
    <xf numFmtId="204" fontId="460" fillId="0" borderId="1" xfId="0" applyNumberFormat="1" applyFont="1" applyFill="1" applyBorder="1" applyAlignment="1">
      <alignment horizontal="center"/>
    </xf>
    <xf numFmtId="0" fontId="360" fillId="0" borderId="19" xfId="0" applyFont="1" applyFill="1" applyBorder="1" applyAlignment="1">
      <alignment horizontal="center"/>
    </xf>
    <xf numFmtId="0" fontId="4" fillId="0" borderId="19" xfId="0" applyFont="1" applyFill="1" applyBorder="1" applyAlignment="1">
      <alignment horizontal="center"/>
    </xf>
    <xf numFmtId="204" fontId="18" fillId="0" borderId="19" xfId="0" applyNumberFormat="1" applyFont="1" applyFill="1" applyBorder="1" applyAlignment="1">
      <alignment horizontal="center"/>
    </xf>
    <xf numFmtId="0" fontId="179" fillId="0" borderId="19" xfId="0" applyFont="1" applyFill="1" applyBorder="1" applyAlignment="1">
      <alignment horizontal="center" vertical="center"/>
    </xf>
    <xf numFmtId="0" fontId="360" fillId="0" borderId="8" xfId="0" applyFont="1" applyFill="1" applyBorder="1" applyAlignment="1">
      <alignment horizontal="center"/>
    </xf>
    <xf numFmtId="0" fontId="179" fillId="0" borderId="9" xfId="0" applyFont="1" applyFill="1" applyBorder="1" applyAlignment="1">
      <alignment horizontal="center" vertical="center"/>
    </xf>
    <xf numFmtId="0" fontId="430" fillId="0" borderId="5" xfId="0" applyFont="1" applyFill="1" applyBorder="1" applyAlignment="1">
      <alignment horizontal="center"/>
    </xf>
    <xf numFmtId="188" fontId="10" fillId="0" borderId="35" xfId="0" applyNumberFormat="1" applyFont="1" applyBorder="1" applyAlignment="1">
      <alignment horizontal="center"/>
    </xf>
    <xf numFmtId="188" fontId="10" fillId="0" borderId="27" xfId="0" applyNumberFormat="1" applyFont="1" applyBorder="1" applyAlignment="1">
      <alignment horizontal="center"/>
    </xf>
    <xf numFmtId="43" fontId="456" fillId="17" borderId="0" xfId="0" applyNumberFormat="1" applyFont="1" applyFill="1" applyBorder="1" applyAlignment="1"/>
    <xf numFmtId="43" fontId="456" fillId="17" borderId="0" xfId="0" applyNumberFormat="1" applyFont="1" applyFill="1" applyBorder="1" applyAlignment="1">
      <alignment horizontal="center"/>
    </xf>
    <xf numFmtId="43" fontId="456" fillId="17" borderId="29" xfId="0" applyNumberFormat="1" applyFont="1" applyFill="1" applyBorder="1" applyAlignment="1"/>
    <xf numFmtId="43" fontId="456" fillId="17" borderId="35" xfId="0" applyNumberFormat="1" applyFont="1" applyFill="1" applyBorder="1" applyAlignment="1"/>
    <xf numFmtId="43" fontId="456" fillId="17" borderId="36" xfId="0" applyNumberFormat="1" applyFont="1" applyFill="1" applyBorder="1" applyAlignment="1"/>
    <xf numFmtId="0" fontId="456" fillId="17" borderId="36" xfId="0" applyFont="1" applyFill="1" applyBorder="1"/>
    <xf numFmtId="43" fontId="456" fillId="17" borderId="37" xfId="0" applyNumberFormat="1" applyFont="1" applyFill="1" applyBorder="1" applyAlignment="1">
      <alignment horizontal="center"/>
    </xf>
    <xf numFmtId="43" fontId="456" fillId="17" borderId="28" xfId="0" applyNumberFormat="1" applyFont="1" applyFill="1" applyBorder="1" applyAlignment="1"/>
    <xf numFmtId="0" fontId="456" fillId="17" borderId="0" xfId="0" applyFont="1" applyFill="1" applyBorder="1"/>
    <xf numFmtId="43" fontId="456" fillId="17" borderId="38" xfId="0" applyNumberFormat="1" applyFont="1" applyFill="1" applyBorder="1" applyAlignment="1">
      <alignment horizontal="center"/>
    </xf>
    <xf numFmtId="43" fontId="457" fillId="17" borderId="27" xfId="0" applyNumberFormat="1" applyFont="1" applyFill="1" applyBorder="1" applyAlignment="1"/>
    <xf numFmtId="43" fontId="457" fillId="17" borderId="154" xfId="0" applyNumberFormat="1" applyFont="1" applyFill="1" applyBorder="1"/>
    <xf numFmtId="43" fontId="456" fillId="17" borderId="0" xfId="0" applyNumberFormat="1" applyFont="1" applyFill="1" applyBorder="1"/>
    <xf numFmtId="0" fontId="457" fillId="17" borderId="0" xfId="0" applyFont="1" applyFill="1" applyBorder="1"/>
    <xf numFmtId="43" fontId="456" fillId="17" borderId="38" xfId="0" applyNumberFormat="1" applyFont="1" applyFill="1" applyBorder="1"/>
    <xf numFmtId="44" fontId="465" fillId="17" borderId="28" xfId="0" applyNumberFormat="1" applyFont="1" applyFill="1" applyBorder="1"/>
    <xf numFmtId="43" fontId="465" fillId="17" borderId="29" xfId="0" applyNumberFormat="1" applyFont="1" applyFill="1" applyBorder="1"/>
    <xf numFmtId="0" fontId="456" fillId="17" borderId="29" xfId="0" applyFont="1" applyFill="1" applyBorder="1"/>
    <xf numFmtId="0" fontId="456" fillId="17" borderId="18" xfId="0" applyFont="1" applyFill="1" applyBorder="1"/>
    <xf numFmtId="14" fontId="457" fillId="17" borderId="36" xfId="0" applyNumberFormat="1" applyFont="1" applyFill="1" applyBorder="1" applyAlignment="1">
      <alignment horizontal="center"/>
    </xf>
    <xf numFmtId="14" fontId="4" fillId="0" borderId="20" xfId="0" applyNumberFormat="1" applyFont="1" applyBorder="1" applyAlignment="1">
      <alignment horizontal="center"/>
    </xf>
    <xf numFmtId="166" fontId="4" fillId="12" borderId="0" xfId="5" applyFont="1" applyFill="1"/>
    <xf numFmtId="14" fontId="461" fillId="0" borderId="33" xfId="0" applyNumberFormat="1" applyFont="1" applyBorder="1" applyAlignment="1">
      <alignment horizontal="center" vertical="center" shrinkToFit="1"/>
    </xf>
    <xf numFmtId="14" fontId="4" fillId="0" borderId="28" xfId="0" applyNumberFormat="1" applyFont="1" applyBorder="1" applyAlignment="1">
      <alignment horizontal="center"/>
    </xf>
    <xf numFmtId="41" fontId="0" fillId="0" borderId="30" xfId="0" applyNumberFormat="1" applyBorder="1"/>
    <xf numFmtId="41" fontId="0" fillId="0" borderId="34" xfId="0" applyNumberFormat="1" applyBorder="1"/>
    <xf numFmtId="14" fontId="461" fillId="0" borderId="43" xfId="0" applyNumberFormat="1" applyFont="1" applyBorder="1" applyAlignment="1">
      <alignment horizontal="center" vertical="center" shrinkToFit="1"/>
    </xf>
    <xf numFmtId="14" fontId="4" fillId="0" borderId="71" xfId="0" applyNumberFormat="1" applyFont="1" applyBorder="1" applyAlignment="1">
      <alignment horizontal="center"/>
    </xf>
    <xf numFmtId="41" fontId="0" fillId="0" borderId="119" xfId="0" applyNumberFormat="1" applyBorder="1"/>
    <xf numFmtId="41" fontId="0" fillId="0" borderId="44" xfId="0" applyNumberFormat="1" applyBorder="1"/>
    <xf numFmtId="14" fontId="461" fillId="0" borderId="20" xfId="0" applyNumberFormat="1" applyFont="1" applyBorder="1" applyAlignment="1">
      <alignment horizontal="center" vertical="center" shrinkToFit="1"/>
    </xf>
    <xf numFmtId="14" fontId="462" fillId="17" borderId="155" xfId="0" applyNumberFormat="1" applyFont="1" applyFill="1" applyBorder="1" applyAlignment="1">
      <alignment horizontal="center" vertical="center" shrinkToFit="1"/>
    </xf>
    <xf numFmtId="14" fontId="4" fillId="17" borderId="156" xfId="0" applyNumberFormat="1" applyFont="1" applyFill="1" applyBorder="1" applyAlignment="1">
      <alignment horizontal="center"/>
    </xf>
    <xf numFmtId="41" fontId="0" fillId="17" borderId="157" xfId="0" applyNumberFormat="1" applyFill="1" applyBorder="1"/>
    <xf numFmtId="41" fontId="456" fillId="17" borderId="157" xfId="0" applyNumberFormat="1" applyFont="1" applyFill="1" applyBorder="1" applyAlignment="1"/>
    <xf numFmtId="41" fontId="0" fillId="17" borderId="158" xfId="0" applyNumberFormat="1" applyFill="1" applyBorder="1"/>
    <xf numFmtId="41" fontId="0" fillId="0" borderId="68" xfId="0" applyNumberFormat="1" applyBorder="1"/>
    <xf numFmtId="14" fontId="461" fillId="0" borderId="86" xfId="0" applyNumberFormat="1" applyFont="1" applyBorder="1" applyAlignment="1">
      <alignment horizontal="center" vertical="center" shrinkToFit="1"/>
    </xf>
    <xf numFmtId="14" fontId="4" fillId="0" borderId="29" xfId="0" applyNumberFormat="1" applyFont="1" applyBorder="1" applyAlignment="1">
      <alignment horizontal="center"/>
    </xf>
    <xf numFmtId="41" fontId="0" fillId="0" borderId="54" xfId="0" applyNumberFormat="1" applyBorder="1"/>
    <xf numFmtId="41" fontId="0" fillId="0" borderId="87" xfId="0" applyNumberFormat="1" applyBorder="1"/>
    <xf numFmtId="0" fontId="468" fillId="0" borderId="137" xfId="0" applyFont="1" applyBorder="1" applyAlignment="1">
      <alignment horizontal="center" vertical="center" shrinkToFit="1"/>
    </xf>
    <xf numFmtId="165" fontId="6" fillId="0" borderId="85" xfId="7" applyFont="1" applyBorder="1"/>
    <xf numFmtId="0" fontId="0" fillId="0" borderId="0" xfId="0" applyAlignment="1">
      <alignment horizontal="center"/>
    </xf>
    <xf numFmtId="0" fontId="7" fillId="0" borderId="29" xfId="0" applyFont="1" applyBorder="1" applyAlignment="1">
      <alignment horizontal="center"/>
    </xf>
    <xf numFmtId="0" fontId="13" fillId="0" borderId="22" xfId="0" applyFont="1" applyBorder="1"/>
    <xf numFmtId="0" fontId="168" fillId="0" borderId="30" xfId="0" applyFont="1" applyBorder="1"/>
    <xf numFmtId="0" fontId="168" fillId="0" borderId="0" xfId="0" applyFont="1" applyBorder="1"/>
    <xf numFmtId="0" fontId="7" fillId="0" borderId="18" xfId="0" applyFont="1" applyBorder="1" applyAlignment="1">
      <alignment horizontal="center"/>
    </xf>
    <xf numFmtId="0" fontId="3" fillId="0" borderId="29" xfId="0" applyFont="1" applyBorder="1" applyAlignment="1">
      <alignment horizontal="center" wrapText="1" shrinkToFit="1"/>
    </xf>
    <xf numFmtId="0" fontId="7" fillId="0" borderId="29" xfId="0" applyFont="1" applyBorder="1" applyAlignment="1">
      <alignment horizontal="center" wrapText="1" shrinkToFit="1"/>
    </xf>
    <xf numFmtId="0" fontId="7" fillId="0" borderId="37" xfId="0" applyFont="1" applyBorder="1" applyAlignment="1"/>
    <xf numFmtId="201" fontId="7" fillId="0" borderId="0" xfId="0" applyNumberFormat="1" applyFont="1" applyBorder="1" applyAlignment="1">
      <alignment horizontal="center"/>
    </xf>
    <xf numFmtId="0" fontId="7" fillId="0" borderId="38" xfId="0" applyFont="1" applyBorder="1" applyAlignment="1"/>
    <xf numFmtId="201" fontId="7" fillId="0" borderId="26" xfId="0" applyNumberFormat="1" applyFont="1" applyBorder="1" applyAlignment="1">
      <alignment horizontal="center"/>
    </xf>
    <xf numFmtId="3" fontId="7" fillId="0" borderId="0" xfId="0" applyNumberFormat="1" applyFont="1" applyBorder="1" applyAlignment="1">
      <alignment horizontal="center"/>
    </xf>
    <xf numFmtId="41" fontId="456" fillId="17" borderId="157" xfId="0" applyNumberFormat="1" applyFont="1" applyFill="1" applyBorder="1"/>
    <xf numFmtId="41" fontId="13" fillId="17" borderId="157" xfId="0" applyNumberFormat="1" applyFont="1" applyFill="1" applyBorder="1" applyAlignment="1"/>
    <xf numFmtId="0" fontId="18" fillId="0" borderId="0" xfId="0" applyFont="1" applyAlignment="1">
      <alignment wrapText="1" shrinkToFit="1"/>
    </xf>
    <xf numFmtId="0" fontId="0" fillId="0" borderId="0" xfId="0" applyAlignment="1">
      <alignment wrapText="1" shrinkToFit="1"/>
    </xf>
    <xf numFmtId="166" fontId="344" fillId="0" borderId="0" xfId="0" applyNumberFormat="1" applyFont="1" applyAlignment="1">
      <alignment horizontal="center" wrapText="1" shrinkToFit="1"/>
    </xf>
    <xf numFmtId="0" fontId="370" fillId="0" borderId="0" xfId="0" applyFont="1" applyAlignment="1">
      <alignment horizontal="center" wrapText="1" shrinkToFit="1"/>
    </xf>
    <xf numFmtId="166" fontId="14" fillId="0" borderId="0" xfId="5" applyNumberFormat="1" applyFont="1" applyAlignment="1">
      <alignment horizontal="left" vertical="center" wrapText="1" shrinkToFit="1"/>
    </xf>
    <xf numFmtId="0" fontId="0" fillId="0" borderId="0" xfId="0" applyAlignment="1">
      <alignment horizontal="left" wrapText="1" shrinkToFit="1"/>
    </xf>
    <xf numFmtId="0" fontId="155" fillId="0" borderId="0" xfId="0" applyFont="1" applyAlignment="1">
      <alignment wrapText="1" shrinkToFit="1"/>
    </xf>
    <xf numFmtId="0" fontId="142" fillId="0" borderId="0" xfId="0" applyFont="1" applyAlignment="1">
      <alignment horizontal="left" wrapText="1" shrinkToFit="1"/>
    </xf>
    <xf numFmtId="0" fontId="361" fillId="0" borderId="1" xfId="0" applyFont="1" applyBorder="1" applyAlignment="1">
      <alignment horizontal="center" wrapText="1" shrinkToFit="1"/>
    </xf>
    <xf numFmtId="0" fontId="279" fillId="0" borderId="1" xfId="0" applyFont="1" applyBorder="1" applyAlignment="1">
      <alignment horizontal="center" vertical="center" wrapText="1" shrinkToFit="1"/>
    </xf>
    <xf numFmtId="204" fontId="18" fillId="0" borderId="1" xfId="5" applyNumberFormat="1" applyFont="1" applyFill="1" applyBorder="1" applyAlignment="1">
      <alignment horizontal="center" vertical="center" wrapText="1" shrinkToFit="1"/>
    </xf>
    <xf numFmtId="0" fontId="438" fillId="0" borderId="1" xfId="0" applyFont="1" applyBorder="1" applyAlignment="1">
      <alignment horizontal="center" vertical="center" wrapText="1" shrinkToFit="1"/>
    </xf>
    <xf numFmtId="0" fontId="361" fillId="0" borderId="1" xfId="0" applyFont="1" applyBorder="1" applyAlignment="1">
      <alignment horizontal="center" shrinkToFit="1"/>
    </xf>
    <xf numFmtId="0" fontId="221" fillId="18" borderId="1" xfId="0" applyFont="1" applyFill="1" applyBorder="1" applyAlignment="1">
      <alignment horizontal="center" vertical="center" shrinkToFit="1"/>
    </xf>
    <xf numFmtId="0" fontId="4" fillId="0" borderId="1" xfId="0" applyFont="1" applyBorder="1" applyAlignment="1">
      <alignment horizontal="left" vertical="center" shrinkToFit="1"/>
    </xf>
    <xf numFmtId="204" fontId="18" fillId="0" borderId="1" xfId="5" applyNumberFormat="1" applyFont="1" applyFill="1" applyBorder="1" applyAlignment="1">
      <alignment horizontal="center" vertical="center" shrinkToFit="1"/>
    </xf>
    <xf numFmtId="0" fontId="0" fillId="19" borderId="0" xfId="0" applyFill="1"/>
    <xf numFmtId="0" fontId="469" fillId="17" borderId="0" xfId="0" applyFont="1" applyFill="1"/>
    <xf numFmtId="0" fontId="470" fillId="17" borderId="0" xfId="0" applyFont="1" applyFill="1"/>
    <xf numFmtId="216" fontId="471" fillId="0" borderId="0" xfId="0" applyNumberFormat="1" applyFont="1" applyAlignment="1">
      <alignment horizontal="center" vertical="center"/>
    </xf>
    <xf numFmtId="0" fontId="2" fillId="0" borderId="137" xfId="0" applyFont="1" applyBorder="1"/>
    <xf numFmtId="0" fontId="2" fillId="0" borderId="86" xfId="0" applyFont="1" applyBorder="1" applyAlignment="1">
      <alignment horizontal="center"/>
    </xf>
    <xf numFmtId="203" fontId="290" fillId="0" borderId="108" xfId="5" applyNumberFormat="1" applyFont="1" applyFill="1" applyBorder="1" applyAlignment="1">
      <alignment horizontal="center" vertical="center"/>
    </xf>
    <xf numFmtId="203" fontId="367" fillId="0" borderId="108" xfId="5" applyNumberFormat="1" applyFont="1" applyFill="1" applyBorder="1" applyAlignment="1">
      <alignment horizontal="center" vertical="center"/>
    </xf>
    <xf numFmtId="0" fontId="357" fillId="0" borderId="0" xfId="0" applyFont="1" applyFill="1" applyBorder="1" applyAlignment="1">
      <alignment horizontal="center" vertical="center"/>
    </xf>
    <xf numFmtId="0" fontId="4" fillId="0" borderId="73" xfId="0" applyFont="1" applyFill="1" applyBorder="1" applyAlignment="1">
      <alignment horizontal="center" vertical="center"/>
    </xf>
    <xf numFmtId="0" fontId="472" fillId="0" borderId="0" xfId="0" applyFont="1" applyFill="1" applyBorder="1" applyAlignment="1">
      <alignment horizontal="center" vertical="center"/>
    </xf>
    <xf numFmtId="0" fontId="0" fillId="0" borderId="0" xfId="0" applyAlignment="1">
      <alignment horizontal="center"/>
    </xf>
    <xf numFmtId="0" fontId="6" fillId="0" borderId="29" xfId="0" applyFont="1" applyBorder="1" applyAlignment="1">
      <alignment horizontal="center" wrapText="1" shrinkToFit="1"/>
    </xf>
    <xf numFmtId="0" fontId="6" fillId="0" borderId="0" xfId="0" applyFont="1" applyBorder="1" applyAlignment="1">
      <alignment horizontal="center"/>
    </xf>
    <xf numFmtId="0" fontId="6" fillId="0" borderId="37" xfId="0" applyFont="1" applyBorder="1" applyAlignment="1"/>
    <xf numFmtId="3" fontId="6" fillId="0" borderId="0" xfId="0" applyNumberFormat="1" applyFont="1" applyBorder="1" applyAlignment="1">
      <alignment horizontal="center"/>
    </xf>
    <xf numFmtId="201" fontId="6" fillId="0" borderId="0" xfId="0" applyNumberFormat="1" applyFont="1" applyBorder="1" applyAlignment="1">
      <alignment horizontal="center"/>
    </xf>
    <xf numFmtId="0" fontId="6" fillId="0" borderId="38" xfId="0" applyFont="1" applyBorder="1" applyAlignment="1"/>
    <xf numFmtId="0" fontId="5" fillId="0" borderId="0" xfId="0" applyFont="1" applyBorder="1" applyAlignment="1">
      <alignment horizontal="center"/>
    </xf>
    <xf numFmtId="0" fontId="474" fillId="0" borderId="30" xfId="0" applyFont="1" applyBorder="1"/>
    <xf numFmtId="0" fontId="5" fillId="0" borderId="22" xfId="0" applyFont="1" applyBorder="1"/>
    <xf numFmtId="0" fontId="475" fillId="0" borderId="0" xfId="0" applyFont="1" applyBorder="1"/>
    <xf numFmtId="0" fontId="476" fillId="0" borderId="0" xfId="0" applyFont="1" applyBorder="1"/>
    <xf numFmtId="0" fontId="6" fillId="0" borderId="29" xfId="0" applyFont="1" applyBorder="1" applyAlignment="1">
      <alignment horizontal="center"/>
    </xf>
    <xf numFmtId="0" fontId="6" fillId="0" borderId="18" xfId="0" applyFont="1" applyBorder="1" applyAlignment="1">
      <alignment horizontal="center"/>
    </xf>
    <xf numFmtId="0" fontId="476" fillId="0" borderId="0" xfId="0" applyFont="1"/>
    <xf numFmtId="201" fontId="52" fillId="0" borderId="0" xfId="0" applyNumberFormat="1" applyFont="1" applyBorder="1" applyAlignment="1">
      <alignment horizontal="center"/>
    </xf>
    <xf numFmtId="201" fontId="52" fillId="0" borderId="26" xfId="0" applyNumberFormat="1" applyFont="1" applyBorder="1" applyAlignment="1">
      <alignment horizontal="center"/>
    </xf>
    <xf numFmtId="0" fontId="477" fillId="0" borderId="29" xfId="0" applyFont="1" applyBorder="1" applyAlignment="1">
      <alignment horizontal="center" wrapText="1" shrinkToFit="1"/>
    </xf>
    <xf numFmtId="0" fontId="478" fillId="0" borderId="29" xfId="0" applyFont="1" applyBorder="1" applyAlignment="1">
      <alignment horizontal="center" wrapText="1" shrinkToFit="1"/>
    </xf>
    <xf numFmtId="201" fontId="4" fillId="0" borderId="0" xfId="0" applyNumberFormat="1" applyFont="1" applyBorder="1" applyAlignment="1">
      <alignment horizontal="center"/>
    </xf>
    <xf numFmtId="0" fontId="5" fillId="0" borderId="37" xfId="0" applyFont="1" applyBorder="1" applyAlignment="1"/>
    <xf numFmtId="3" fontId="4" fillId="0" borderId="0" xfId="0" applyNumberFormat="1" applyFont="1" applyBorder="1" applyAlignment="1">
      <alignment horizontal="center"/>
    </xf>
    <xf numFmtId="201" fontId="4" fillId="0" borderId="38" xfId="0" applyNumberFormat="1" applyFont="1" applyBorder="1" applyAlignment="1">
      <alignment horizontal="center"/>
    </xf>
    <xf numFmtId="0" fontId="5" fillId="0" borderId="38" xfId="0" applyFont="1" applyBorder="1" applyAlignment="1"/>
    <xf numFmtId="0" fontId="0" fillId="0" borderId="0" xfId="0" applyAlignment="1">
      <alignment horizontal="center"/>
    </xf>
    <xf numFmtId="14" fontId="0" fillId="0" borderId="0" xfId="0" applyNumberFormat="1" applyAlignment="1">
      <alignment horizontal="center"/>
    </xf>
    <xf numFmtId="0" fontId="22" fillId="0" borderId="0" xfId="0" applyFont="1" applyAlignment="1">
      <alignment horizontal="center"/>
    </xf>
    <xf numFmtId="197" fontId="8" fillId="0" borderId="0" xfId="0" applyNumberFormat="1" applyFont="1"/>
    <xf numFmtId="197" fontId="6" fillId="0" borderId="0" xfId="0" applyNumberFormat="1" applyFont="1"/>
    <xf numFmtId="197" fontId="6" fillId="0" borderId="0" xfId="0" applyNumberFormat="1" applyFont="1" applyAlignment="1">
      <alignment horizontal="center"/>
    </xf>
    <xf numFmtId="0" fontId="2" fillId="0" borderId="0" xfId="0" applyFont="1" applyAlignment="1">
      <alignment horizontal="center"/>
    </xf>
    <xf numFmtId="0" fontId="479" fillId="0" borderId="0" xfId="0" applyFont="1" applyAlignment="1">
      <alignment horizontal="center"/>
    </xf>
    <xf numFmtId="14" fontId="479" fillId="0" borderId="0" xfId="0" applyNumberFormat="1" applyFont="1" applyAlignment="1">
      <alignment horizontal="center"/>
    </xf>
    <xf numFmtId="0" fontId="414" fillId="0" borderId="0" xfId="0" applyFont="1" applyAlignment="1">
      <alignment horizontal="center"/>
    </xf>
    <xf numFmtId="0" fontId="480" fillId="0" borderId="0" xfId="0" applyFont="1" applyAlignment="1">
      <alignment horizontal="center"/>
    </xf>
    <xf numFmtId="0" fontId="22" fillId="19" borderId="0" xfId="0" applyFont="1" applyFill="1" applyAlignment="1">
      <alignment horizontal="center"/>
    </xf>
    <xf numFmtId="0" fontId="414" fillId="19" borderId="0" xfId="0" applyFont="1" applyFill="1" applyAlignment="1">
      <alignment horizontal="center"/>
    </xf>
    <xf numFmtId="0" fontId="2" fillId="19" borderId="0" xfId="0" applyFont="1" applyFill="1" applyAlignment="1">
      <alignment horizontal="center"/>
    </xf>
    <xf numFmtId="0" fontId="0" fillId="19" borderId="0" xfId="0" applyFill="1" applyAlignment="1">
      <alignment horizontal="center"/>
    </xf>
    <xf numFmtId="14" fontId="0" fillId="19" borderId="0" xfId="0" applyNumberFormat="1" applyFill="1" applyAlignment="1">
      <alignment horizontal="center"/>
    </xf>
    <xf numFmtId="0" fontId="2" fillId="19" borderId="0" xfId="0" applyFont="1" applyFill="1"/>
    <xf numFmtId="0" fontId="457" fillId="19" borderId="0" xfId="0" applyFont="1" applyFill="1" applyAlignment="1">
      <alignment horizontal="center"/>
    </xf>
    <xf numFmtId="0" fontId="481" fillId="0" borderId="0" xfId="0" applyFont="1"/>
    <xf numFmtId="0" fontId="0" fillId="0" borderId="0" xfId="0" applyAlignment="1">
      <alignment horizontal="center"/>
    </xf>
    <xf numFmtId="0" fontId="0" fillId="0" borderId="1" xfId="0" applyBorder="1" applyAlignment="1">
      <alignment horizontal="center" vertical="center"/>
    </xf>
    <xf numFmtId="0" fontId="22" fillId="0" borderId="1" xfId="0" applyFont="1" applyBorder="1" applyAlignment="1">
      <alignment horizontal="center" vertical="center"/>
    </xf>
    <xf numFmtId="0" fontId="22" fillId="0" borderId="0" xfId="0" applyFont="1" applyAlignment="1">
      <alignment horizontal="center" vertical="center"/>
    </xf>
    <xf numFmtId="0" fontId="10" fillId="0" borderId="1" xfId="0" applyFont="1" applyBorder="1" applyAlignment="1">
      <alignment horizontal="center" vertical="center" wrapText="1" shrinkToFit="1"/>
    </xf>
    <xf numFmtId="0" fontId="8" fillId="0" borderId="1" xfId="0" applyFont="1" applyBorder="1" applyAlignment="1">
      <alignment horizontal="center" vertical="center"/>
    </xf>
    <xf numFmtId="0" fontId="22" fillId="0" borderId="47" xfId="0" applyFont="1" applyBorder="1" applyAlignment="1">
      <alignment horizontal="center" vertical="center"/>
    </xf>
    <xf numFmtId="0" fontId="22" fillId="0" borderId="11" xfId="0" applyFont="1" applyBorder="1" applyAlignment="1">
      <alignment horizontal="center" vertical="center"/>
    </xf>
    <xf numFmtId="14" fontId="5" fillId="0" borderId="1" xfId="0" applyNumberFormat="1" applyFont="1" applyFill="1" applyBorder="1" applyAlignment="1">
      <alignment horizontal="center" vertical="center"/>
    </xf>
    <xf numFmtId="14" fontId="174" fillId="0" borderId="1" xfId="0" applyNumberFormat="1" applyFont="1" applyFill="1" applyBorder="1" applyAlignment="1">
      <alignment horizontal="center" vertical="center" shrinkToFit="1"/>
    </xf>
    <xf numFmtId="0" fontId="5" fillId="0" borderId="1" xfId="0" applyFont="1" applyFill="1" applyBorder="1" applyAlignment="1">
      <alignment vertical="center"/>
    </xf>
    <xf numFmtId="14" fontId="483" fillId="0" borderId="1" xfId="0" applyNumberFormat="1" applyFont="1" applyFill="1" applyBorder="1" applyAlignment="1">
      <alignment horizontal="center" vertical="center" shrinkToFit="1"/>
    </xf>
    <xf numFmtId="0" fontId="2" fillId="0" borderId="1" xfId="0" applyFont="1" applyBorder="1" applyAlignment="1">
      <alignment vertical="justify" wrapText="1"/>
    </xf>
    <xf numFmtId="0" fontId="7" fillId="0" borderId="1" xfId="0" applyFont="1" applyBorder="1" applyAlignment="1">
      <alignment horizontal="center" wrapText="1" shrinkToFit="1"/>
    </xf>
    <xf numFmtId="0" fontId="6" fillId="0" borderId="1" xfId="0" applyFont="1" applyBorder="1" applyAlignment="1">
      <alignment horizontal="center" wrapText="1" shrinkToFit="1"/>
    </xf>
    <xf numFmtId="0" fontId="7" fillId="0" borderId="0" xfId="0" applyFont="1" applyAlignment="1">
      <alignment horizontal="center" wrapText="1" shrinkToFit="1"/>
    </xf>
    <xf numFmtId="0" fontId="6" fillId="0" borderId="1" xfId="0" applyFont="1" applyBorder="1" applyAlignment="1">
      <alignment wrapText="1" shrinkToFit="1"/>
    </xf>
    <xf numFmtId="0" fontId="53" fillId="0" borderId="1" xfId="0" applyFont="1" applyBorder="1" applyAlignment="1">
      <alignment horizontal="center" wrapText="1" shrinkToFit="1"/>
    </xf>
    <xf numFmtId="14" fontId="356" fillId="0" borderId="0" xfId="0" applyNumberFormat="1" applyFont="1" applyAlignment="1">
      <alignment vertical="center"/>
    </xf>
    <xf numFmtId="14" fontId="174" fillId="0" borderId="1" xfId="0" applyNumberFormat="1" applyFont="1" applyFill="1" applyBorder="1" applyAlignment="1">
      <alignment horizontal="center" vertical="center" wrapText="1" shrinkToFit="1"/>
    </xf>
    <xf numFmtId="0" fontId="2" fillId="0" borderId="1" xfId="0" applyFont="1" applyBorder="1" applyAlignment="1">
      <alignment vertical="top" wrapText="1"/>
    </xf>
    <xf numFmtId="14" fontId="174" fillId="0" borderId="1" xfId="0" applyNumberFormat="1" applyFont="1" applyFill="1" applyBorder="1" applyAlignment="1">
      <alignment horizontal="center" vertical="top" wrapText="1" shrinkToFit="1"/>
    </xf>
    <xf numFmtId="0" fontId="2" fillId="0" borderId="1" xfId="0" applyFont="1" applyBorder="1" applyAlignment="1">
      <alignment vertical="center"/>
    </xf>
    <xf numFmtId="0" fontId="8" fillId="0" borderId="47" xfId="0" applyFont="1" applyBorder="1" applyAlignment="1">
      <alignment horizontal="center" vertical="center"/>
    </xf>
    <xf numFmtId="0" fontId="8" fillId="0" borderId="19" xfId="0" applyFont="1" applyBorder="1" applyAlignment="1">
      <alignment horizontal="center" vertical="center"/>
    </xf>
    <xf numFmtId="2" fontId="9" fillId="0" borderId="0" xfId="0" applyNumberFormat="1" applyFont="1" applyBorder="1" applyAlignment="1">
      <alignment horizontal="center"/>
    </xf>
    <xf numFmtId="0" fontId="5" fillId="0" borderId="0" xfId="0" applyFont="1" applyBorder="1" applyAlignment="1">
      <alignment horizontal="center"/>
    </xf>
    <xf numFmtId="0" fontId="7" fillId="0" borderId="0" xfId="0" applyNumberFormat="1" applyFont="1" applyBorder="1" applyAlignment="1">
      <alignment horizontal="center"/>
    </xf>
    <xf numFmtId="0" fontId="0" fillId="0" borderId="0" xfId="0" applyAlignment="1">
      <alignment horizontal="center"/>
    </xf>
    <xf numFmtId="0" fontId="22" fillId="0" borderId="1" xfId="0" applyFont="1" applyBorder="1" applyAlignment="1">
      <alignment horizontal="center" vertical="center"/>
    </xf>
    <xf numFmtId="0" fontId="22" fillId="0" borderId="54" xfId="0" applyFont="1" applyBorder="1" applyAlignment="1">
      <alignment horizontal="center" vertical="center"/>
    </xf>
    <xf numFmtId="0" fontId="5" fillId="0" borderId="1" xfId="0" applyFont="1" applyFill="1" applyBorder="1" applyAlignment="1">
      <alignment horizontal="center"/>
    </xf>
    <xf numFmtId="204" fontId="2" fillId="0" borderId="1" xfId="0" applyNumberFormat="1" applyFont="1" applyBorder="1" applyAlignment="1">
      <alignment horizontal="center"/>
    </xf>
    <xf numFmtId="0" fontId="265" fillId="0" borderId="1" xfId="0" applyFont="1" applyBorder="1" applyAlignment="1">
      <alignment horizontal="center" vertical="center"/>
    </xf>
    <xf numFmtId="14" fontId="18" fillId="0" borderId="1" xfId="0" applyNumberFormat="1" applyFont="1" applyFill="1" applyBorder="1" applyAlignment="1">
      <alignment horizontal="center" vertical="center" wrapText="1" shrinkToFit="1"/>
    </xf>
    <xf numFmtId="14" fontId="18" fillId="0" borderId="1" xfId="0" applyNumberFormat="1" applyFont="1" applyFill="1" applyBorder="1" applyAlignment="1">
      <alignment horizontal="center" vertical="center" shrinkToFit="1"/>
    </xf>
    <xf numFmtId="14" fontId="5" fillId="0" borderId="54" xfId="0" applyNumberFormat="1" applyFont="1" applyFill="1" applyBorder="1" applyAlignment="1">
      <alignment horizontal="center" vertical="center"/>
    </xf>
    <xf numFmtId="14" fontId="18" fillId="0" borderId="54" xfId="0" applyNumberFormat="1" applyFont="1" applyFill="1" applyBorder="1" applyAlignment="1">
      <alignment horizontal="center" vertical="center" shrinkToFit="1"/>
    </xf>
    <xf numFmtId="0" fontId="2" fillId="0" borderId="54" xfId="0" applyFont="1" applyBorder="1" applyAlignment="1">
      <alignment horizontal="center" vertical="center"/>
    </xf>
    <xf numFmtId="0" fontId="2" fillId="0" borderId="54" xfId="0" applyFont="1" applyBorder="1" applyAlignment="1">
      <alignment vertical="top" wrapText="1"/>
    </xf>
    <xf numFmtId="14" fontId="5" fillId="0" borderId="19" xfId="0" applyNumberFormat="1" applyFont="1" applyFill="1" applyBorder="1" applyAlignment="1">
      <alignment horizontal="center" vertical="center"/>
    </xf>
    <xf numFmtId="14" fontId="18" fillId="0" borderId="19" xfId="0" applyNumberFormat="1" applyFont="1" applyFill="1" applyBorder="1" applyAlignment="1">
      <alignment horizontal="center" vertical="center" shrinkToFit="1"/>
    </xf>
    <xf numFmtId="0" fontId="10" fillId="0" borderId="19" xfId="0" applyFont="1" applyBorder="1" applyAlignment="1">
      <alignment horizontal="center" vertical="center" wrapText="1" shrinkToFit="1"/>
    </xf>
    <xf numFmtId="0" fontId="2" fillId="0" borderId="19" xfId="0" applyFont="1" applyBorder="1" applyAlignment="1">
      <alignment vertical="justify" wrapText="1"/>
    </xf>
    <xf numFmtId="0" fontId="22" fillId="0" borderId="32" xfId="0" applyFont="1" applyBorder="1" applyAlignment="1">
      <alignment horizontal="center" vertical="center"/>
    </xf>
    <xf numFmtId="14" fontId="5" fillId="0" borderId="32" xfId="0" applyNumberFormat="1" applyFont="1" applyFill="1" applyBorder="1" applyAlignment="1">
      <alignment horizontal="center" vertical="center"/>
    </xf>
    <xf numFmtId="14" fontId="18" fillId="0" borderId="32" xfId="0" applyNumberFormat="1" applyFont="1" applyFill="1" applyBorder="1" applyAlignment="1">
      <alignment horizontal="center" vertical="center" shrinkToFit="1"/>
    </xf>
    <xf numFmtId="0" fontId="10" fillId="0" borderId="32" xfId="0" applyFont="1" applyBorder="1" applyAlignment="1">
      <alignment horizontal="center" vertical="center" wrapText="1" shrinkToFit="1"/>
    </xf>
    <xf numFmtId="0" fontId="2" fillId="0" borderId="32" xfId="0" applyFont="1" applyBorder="1" applyAlignment="1">
      <alignment vertical="justify" wrapText="1"/>
    </xf>
    <xf numFmtId="0" fontId="22" fillId="0" borderId="56" xfId="0" applyFont="1" applyBorder="1" applyAlignment="1">
      <alignment horizontal="center" vertical="center"/>
    </xf>
    <xf numFmtId="14" fontId="5" fillId="0" borderId="56" xfId="0" applyNumberFormat="1" applyFont="1" applyFill="1" applyBorder="1" applyAlignment="1">
      <alignment horizontal="center" vertical="center"/>
    </xf>
    <xf numFmtId="14" fontId="18" fillId="0" borderId="56" xfId="0" applyNumberFormat="1" applyFont="1" applyFill="1" applyBorder="1" applyAlignment="1">
      <alignment horizontal="center" vertical="center" shrinkToFit="1"/>
    </xf>
    <xf numFmtId="0" fontId="10" fillId="0" borderId="56" xfId="0" applyFont="1" applyBorder="1" applyAlignment="1">
      <alignment horizontal="center" vertical="center" wrapText="1" shrinkToFit="1"/>
    </xf>
    <xf numFmtId="0" fontId="2" fillId="0" borderId="56" xfId="0" applyFont="1" applyBorder="1" applyAlignment="1">
      <alignment vertical="justify" wrapText="1"/>
    </xf>
    <xf numFmtId="14" fontId="18" fillId="0" borderId="19" xfId="0" applyNumberFormat="1" applyFont="1" applyFill="1" applyBorder="1" applyAlignment="1">
      <alignment horizontal="center" vertical="center" wrapText="1" shrinkToFit="1"/>
    </xf>
    <xf numFmtId="0" fontId="2" fillId="0" borderId="19" xfId="0" applyFont="1" applyBorder="1" applyAlignment="1">
      <alignment vertical="top" wrapText="1"/>
    </xf>
    <xf numFmtId="0" fontId="2" fillId="0" borderId="19" xfId="0" applyFont="1" applyBorder="1" applyAlignment="1">
      <alignment vertical="center"/>
    </xf>
    <xf numFmtId="14" fontId="18" fillId="0" borderId="19" xfId="0" applyNumberFormat="1" applyFont="1" applyFill="1" applyBorder="1" applyAlignment="1">
      <alignment horizontal="center" vertical="top" wrapText="1" shrinkToFit="1"/>
    </xf>
    <xf numFmtId="14" fontId="18" fillId="0" borderId="32" xfId="0" applyNumberFormat="1" applyFont="1" applyFill="1" applyBorder="1" applyAlignment="1">
      <alignment horizontal="center" vertical="center" wrapText="1" shrinkToFit="1"/>
    </xf>
    <xf numFmtId="0" fontId="2" fillId="0" borderId="32" xfId="0" applyFont="1" applyBorder="1" applyAlignment="1">
      <alignment vertical="top" wrapText="1"/>
    </xf>
    <xf numFmtId="0" fontId="2" fillId="0" borderId="19" xfId="0" applyFont="1" applyBorder="1" applyAlignment="1">
      <alignment horizontal="center" vertical="center"/>
    </xf>
    <xf numFmtId="0" fontId="22" fillId="0" borderId="159" xfId="0" applyFont="1" applyBorder="1" applyAlignment="1">
      <alignment horizontal="center" vertical="center"/>
    </xf>
    <xf numFmtId="14" fontId="5" fillId="0" borderId="159" xfId="0" applyNumberFormat="1" applyFont="1" applyFill="1" applyBorder="1" applyAlignment="1">
      <alignment horizontal="center" vertical="center"/>
    </xf>
    <xf numFmtId="14" fontId="18" fillId="0" borderId="159" xfId="0" applyNumberFormat="1" applyFont="1" applyFill="1" applyBorder="1" applyAlignment="1">
      <alignment horizontal="center" vertical="center" shrinkToFit="1"/>
    </xf>
    <xf numFmtId="0" fontId="2" fillId="0" borderId="159" xfId="0" applyFont="1" applyBorder="1" applyAlignment="1">
      <alignment horizontal="center" vertical="center"/>
    </xf>
    <xf numFmtId="0" fontId="2" fillId="0" borderId="159" xfId="0" applyFont="1" applyBorder="1" applyAlignment="1">
      <alignment vertical="top" wrapText="1"/>
    </xf>
    <xf numFmtId="0" fontId="53" fillId="0" borderId="83" xfId="0" applyFont="1" applyBorder="1" applyAlignment="1">
      <alignment horizontal="center" wrapText="1" shrinkToFit="1"/>
    </xf>
    <xf numFmtId="0" fontId="6" fillId="0" borderId="84" xfId="0" applyFont="1" applyBorder="1" applyAlignment="1">
      <alignment horizontal="center" wrapText="1" shrinkToFit="1"/>
    </xf>
    <xf numFmtId="0" fontId="7" fillId="0" borderId="84" xfId="0" applyFont="1" applyBorder="1" applyAlignment="1">
      <alignment horizontal="center" wrapText="1" shrinkToFit="1"/>
    </xf>
    <xf numFmtId="0" fontId="6" fillId="0" borderId="25" xfId="0" applyFont="1" applyBorder="1" applyAlignment="1">
      <alignment wrapText="1" shrinkToFit="1"/>
    </xf>
    <xf numFmtId="0" fontId="2" fillId="0" borderId="160" xfId="0" applyFont="1" applyBorder="1" applyAlignment="1">
      <alignment horizontal="center"/>
    </xf>
    <xf numFmtId="0" fontId="2" fillId="0" borderId="29" xfId="0" applyFont="1" applyBorder="1" applyAlignment="1">
      <alignment horizontal="center"/>
    </xf>
    <xf numFmtId="44" fontId="0" fillId="0" borderId="0" xfId="0" applyNumberFormat="1"/>
    <xf numFmtId="0" fontId="7" fillId="0" borderId="164" xfId="0" applyFont="1" applyBorder="1" applyAlignment="1">
      <alignment horizontal="center"/>
    </xf>
    <xf numFmtId="0" fontId="10" fillId="0" borderId="19" xfId="0" applyFont="1" applyFill="1" applyBorder="1" applyAlignment="1">
      <alignment horizontal="center"/>
    </xf>
    <xf numFmtId="44" fontId="7" fillId="0" borderId="0" xfId="0" applyNumberFormat="1" applyFont="1"/>
    <xf numFmtId="219" fontId="10" fillId="0" borderId="0" xfId="0" applyNumberFormat="1" applyFont="1"/>
    <xf numFmtId="220" fontId="10" fillId="0" borderId="0" xfId="0" applyNumberFormat="1" applyFont="1"/>
    <xf numFmtId="218" fontId="487" fillId="0" borderId="0" xfId="0" applyNumberFormat="1" applyFont="1" applyAlignment="1">
      <alignment horizontal="right"/>
    </xf>
    <xf numFmtId="218" fontId="487" fillId="0" borderId="0" xfId="0" applyNumberFormat="1" applyFont="1" applyAlignment="1">
      <alignment horizontal="left"/>
    </xf>
    <xf numFmtId="0" fontId="486" fillId="0" borderId="0" xfId="0" applyFont="1" applyAlignment="1">
      <alignment horizontal="center"/>
    </xf>
    <xf numFmtId="0" fontId="2" fillId="0" borderId="161" xfId="0" applyFont="1" applyBorder="1" applyAlignment="1">
      <alignment horizontal="center"/>
    </xf>
    <xf numFmtId="0" fontId="4" fillId="0" borderId="161" xfId="0" applyFont="1" applyBorder="1"/>
    <xf numFmtId="0" fontId="2" fillId="0" borderId="161" xfId="0" applyFont="1" applyBorder="1"/>
    <xf numFmtId="0" fontId="486" fillId="0" borderId="161" xfId="0" applyFont="1" applyBorder="1" applyAlignment="1">
      <alignment horizontal="center"/>
    </xf>
    <xf numFmtId="0" fontId="2" fillId="0" borderId="162" xfId="0" applyFont="1" applyBorder="1" applyAlignment="1">
      <alignment horizontal="center"/>
    </xf>
    <xf numFmtId="0" fontId="488" fillId="0" borderId="161" xfId="0" applyFont="1" applyBorder="1" applyAlignment="1">
      <alignment horizontal="center"/>
    </xf>
    <xf numFmtId="44" fontId="2" fillId="0" borderId="163" xfId="0" applyNumberFormat="1" applyFont="1" applyBorder="1"/>
    <xf numFmtId="0" fontId="489" fillId="0" borderId="0" xfId="0" applyFont="1"/>
    <xf numFmtId="0" fontId="488" fillId="0" borderId="0" xfId="0" applyFont="1" applyAlignment="1">
      <alignment horizontal="center"/>
    </xf>
    <xf numFmtId="0" fontId="487" fillId="0" borderId="0" xfId="0" applyFont="1" applyAlignment="1">
      <alignment horizontal="center"/>
    </xf>
    <xf numFmtId="43" fontId="456" fillId="0" borderId="0" xfId="0" applyNumberFormat="1" applyFont="1"/>
    <xf numFmtId="9" fontId="2" fillId="0" borderId="0" xfId="0" applyNumberFormat="1" applyFont="1" applyAlignment="1">
      <alignment horizontal="center"/>
    </xf>
    <xf numFmtId="0" fontId="0" fillId="17" borderId="0" xfId="0" applyFill="1" applyAlignment="1">
      <alignment horizontal="center"/>
    </xf>
    <xf numFmtId="0" fontId="0" fillId="17" borderId="0" xfId="0" applyFill="1"/>
    <xf numFmtId="4" fontId="0" fillId="17" borderId="0" xfId="0" applyNumberFormat="1" applyFill="1" applyAlignment="1">
      <alignment horizontal="center"/>
    </xf>
    <xf numFmtId="0" fontId="2" fillId="17" borderId="161" xfId="0" applyFont="1" applyFill="1" applyBorder="1" applyAlignment="1">
      <alignment horizontal="center"/>
    </xf>
    <xf numFmtId="0" fontId="4" fillId="17" borderId="161" xfId="0" applyFont="1" applyFill="1" applyBorder="1"/>
    <xf numFmtId="0" fontId="2" fillId="17" borderId="161" xfId="0" applyFont="1" applyFill="1" applyBorder="1"/>
    <xf numFmtId="0" fontId="486" fillId="17" borderId="161" xfId="0" applyFont="1" applyFill="1" applyBorder="1" applyAlignment="1">
      <alignment horizontal="center"/>
    </xf>
    <xf numFmtId="0" fontId="2" fillId="17" borderId="162" xfId="0" applyFont="1" applyFill="1" applyBorder="1" applyAlignment="1">
      <alignment horizontal="center"/>
    </xf>
    <xf numFmtId="0" fontId="488" fillId="17" borderId="161" xfId="0" applyFont="1" applyFill="1" applyBorder="1" applyAlignment="1">
      <alignment horizontal="center"/>
    </xf>
    <xf numFmtId="44" fontId="2" fillId="17" borderId="163" xfId="0" applyNumberFormat="1" applyFont="1" applyFill="1" applyBorder="1"/>
    <xf numFmtId="44" fontId="0" fillId="17" borderId="0" xfId="0" applyNumberFormat="1" applyFill="1"/>
    <xf numFmtId="43" fontId="0" fillId="17" borderId="0" xfId="0" applyNumberFormat="1" applyFill="1"/>
    <xf numFmtId="0" fontId="486" fillId="0" borderId="0" xfId="0" applyFont="1" applyAlignment="1">
      <alignment horizontal="center"/>
    </xf>
    <xf numFmtId="0" fontId="0" fillId="0" borderId="0" xfId="0" applyAlignment="1">
      <alignment horizontal="center"/>
    </xf>
    <xf numFmtId="0" fontId="5" fillId="0" borderId="0" xfId="0" applyFont="1" applyAlignment="1">
      <alignment horizontal="center"/>
    </xf>
    <xf numFmtId="0" fontId="0" fillId="0" borderId="161" xfId="0" applyBorder="1"/>
    <xf numFmtId="0" fontId="486" fillId="0" borderId="0" xfId="0" applyFont="1" applyFill="1" applyBorder="1" applyAlignment="1">
      <alignment horizontal="center"/>
    </xf>
    <xf numFmtId="0" fontId="5" fillId="0" borderId="161" xfId="0" applyFont="1" applyBorder="1" applyAlignment="1">
      <alignment horizontal="center"/>
    </xf>
    <xf numFmtId="44" fontId="2" fillId="0" borderId="163" xfId="0" applyNumberFormat="1" applyFont="1" applyFill="1" applyBorder="1"/>
    <xf numFmtId="0" fontId="2" fillId="0" borderId="0" xfId="0" applyFont="1" applyBorder="1" applyAlignment="1">
      <alignment horizontal="center"/>
    </xf>
    <xf numFmtId="0" fontId="2" fillId="0" borderId="165" xfId="0" applyFont="1" applyBorder="1" applyAlignment="1">
      <alignment horizontal="center"/>
    </xf>
    <xf numFmtId="0" fontId="5" fillId="0" borderId="166" xfId="0" applyFont="1" applyBorder="1" applyAlignment="1">
      <alignment horizontal="center"/>
    </xf>
    <xf numFmtId="0" fontId="490" fillId="0" borderId="0" xfId="0" applyFont="1" applyAlignment="1">
      <alignment vertical="center"/>
    </xf>
    <xf numFmtId="43" fontId="7" fillId="0" borderId="0" xfId="0" applyNumberFormat="1" applyFont="1"/>
    <xf numFmtId="0" fontId="491" fillId="0" borderId="0" xfId="0" applyFont="1" applyAlignment="1">
      <alignment vertical="center"/>
    </xf>
    <xf numFmtId="0" fontId="483" fillId="0" borderId="35" xfId="0" applyFont="1" applyBorder="1" applyAlignment="1">
      <alignment horizontal="center"/>
    </xf>
    <xf numFmtId="0" fontId="5" fillId="0" borderId="36" xfId="0" applyFont="1" applyBorder="1" applyAlignment="1">
      <alignment horizontal="center"/>
    </xf>
    <xf numFmtId="0" fontId="5" fillId="0" borderId="37" xfId="0" applyFont="1" applyBorder="1" applyAlignment="1">
      <alignment horizontal="center"/>
    </xf>
    <xf numFmtId="0" fontId="483" fillId="0" borderId="28" xfId="0" applyFont="1" applyBorder="1" applyAlignment="1">
      <alignment horizontal="center" vertical="center"/>
    </xf>
    <xf numFmtId="0" fontId="5" fillId="0" borderId="29" xfId="0" applyFont="1" applyBorder="1" applyAlignment="1">
      <alignment horizontal="center" vertical="center"/>
    </xf>
    <xf numFmtId="0" fontId="5" fillId="0" borderId="18" xfId="0" applyFont="1" applyBorder="1" applyAlignment="1">
      <alignment horizontal="center" vertical="center"/>
    </xf>
    <xf numFmtId="0" fontId="0" fillId="0" borderId="0" xfId="0" applyAlignment="1">
      <alignment horizontal="center"/>
    </xf>
    <xf numFmtId="201" fontId="2" fillId="0" borderId="0" xfId="0" applyNumberFormat="1" applyFont="1" applyAlignment="1">
      <alignment horizontal="center"/>
    </xf>
    <xf numFmtId="4" fontId="0" fillId="0" borderId="0" xfId="0" applyNumberFormat="1" applyAlignment="1">
      <alignment horizontal="center" vertical="center"/>
    </xf>
    <xf numFmtId="0" fontId="492" fillId="19" borderId="0" xfId="0" applyFont="1" applyFill="1" applyAlignment="1">
      <alignment vertical="center"/>
    </xf>
    <xf numFmtId="0" fontId="493" fillId="0" borderId="0" xfId="0" applyFont="1"/>
    <xf numFmtId="0" fontId="494" fillId="0" borderId="163" xfId="0" applyFont="1" applyBorder="1" applyAlignment="1">
      <alignment horizontal="center" wrapText="1" shrinkToFit="1"/>
    </xf>
    <xf numFmtId="0" fontId="493" fillId="0" borderId="35" xfId="0" applyFont="1" applyBorder="1" applyAlignment="1">
      <alignment horizontal="center"/>
    </xf>
    <xf numFmtId="0" fontId="493" fillId="0" borderId="37" xfId="0" applyFont="1" applyBorder="1" applyAlignment="1"/>
    <xf numFmtId="3" fontId="493" fillId="0" borderId="27" xfId="0" applyNumberFormat="1" applyFont="1" applyBorder="1" applyAlignment="1">
      <alignment horizontal="center"/>
    </xf>
    <xf numFmtId="3" fontId="493" fillId="0" borderId="0" xfId="0" applyNumberFormat="1" applyFont="1" applyBorder="1" applyAlignment="1">
      <alignment horizontal="center"/>
    </xf>
    <xf numFmtId="0" fontId="493" fillId="0" borderId="0" xfId="0" applyFont="1" applyBorder="1"/>
    <xf numFmtId="0" fontId="493" fillId="0" borderId="38" xfId="0" applyFont="1" applyBorder="1"/>
    <xf numFmtId="0" fontId="493" fillId="0" borderId="27" xfId="0" applyFont="1" applyBorder="1" applyAlignment="1">
      <alignment horizontal="center"/>
    </xf>
    <xf numFmtId="0" fontId="493" fillId="0" borderId="38" xfId="0" applyFont="1" applyBorder="1" applyAlignment="1"/>
    <xf numFmtId="0" fontId="495" fillId="0" borderId="0" xfId="0" applyFont="1" applyBorder="1" applyAlignment="1">
      <alignment horizontal="center"/>
    </xf>
    <xf numFmtId="0" fontId="496" fillId="0" borderId="27" xfId="0" applyFont="1" applyBorder="1" applyAlignment="1">
      <alignment horizontal="center"/>
    </xf>
    <xf numFmtId="0" fontId="496" fillId="0" borderId="38" xfId="0" applyFont="1" applyBorder="1"/>
    <xf numFmtId="0" fontId="493" fillId="0" borderId="27" xfId="0" applyFont="1" applyBorder="1"/>
    <xf numFmtId="0" fontId="493" fillId="0" borderId="0" xfId="0" applyFont="1" applyBorder="1" applyAlignment="1">
      <alignment horizontal="center"/>
    </xf>
    <xf numFmtId="0" fontId="496" fillId="0" borderId="38" xfId="0" applyFont="1" applyBorder="1" applyAlignment="1"/>
    <xf numFmtId="0" fontId="493" fillId="0" borderId="28" xfId="0" applyFont="1" applyBorder="1" applyAlignment="1">
      <alignment horizontal="center"/>
    </xf>
    <xf numFmtId="0" fontId="493" fillId="0" borderId="18" xfId="0" applyFont="1" applyBorder="1"/>
    <xf numFmtId="0" fontId="493" fillId="0" borderId="0" xfId="0" applyFont="1" applyBorder="1" applyAlignment="1">
      <alignment horizontal="center" vertical="center"/>
    </xf>
    <xf numFmtId="0" fontId="493" fillId="0" borderId="0" xfId="0" applyFont="1" applyBorder="1" applyAlignment="1">
      <alignment vertical="center"/>
    </xf>
    <xf numFmtId="0" fontId="494" fillId="0" borderId="163" xfId="0" applyFont="1" applyBorder="1" applyAlignment="1">
      <alignment horizontal="center"/>
    </xf>
    <xf numFmtId="0" fontId="494" fillId="0" borderId="164" xfId="0" applyFont="1" applyBorder="1" applyAlignment="1">
      <alignment horizontal="center" wrapText="1" shrinkToFit="1"/>
    </xf>
    <xf numFmtId="2" fontId="494" fillId="0" borderId="163" xfId="0" applyNumberFormat="1" applyFont="1" applyBorder="1" applyAlignment="1">
      <alignment horizontal="center" vertical="center"/>
    </xf>
    <xf numFmtId="2" fontId="493" fillId="0" borderId="38" xfId="0" applyNumberFormat="1" applyFont="1" applyBorder="1" applyAlignment="1"/>
    <xf numFmtId="2" fontId="494" fillId="0" borderId="163" xfId="0" applyNumberFormat="1" applyFont="1" applyBorder="1" applyAlignment="1">
      <alignment vertical="center"/>
    </xf>
    <xf numFmtId="2" fontId="493" fillId="0" borderId="37" xfId="0" applyNumberFormat="1" applyFont="1" applyBorder="1" applyAlignment="1"/>
    <xf numFmtId="4" fontId="493" fillId="0" borderId="38" xfId="0" applyNumberFormat="1" applyFont="1" applyBorder="1"/>
    <xf numFmtId="4" fontId="493" fillId="0" borderId="38" xfId="0" applyNumberFormat="1" applyFont="1" applyFill="1" applyBorder="1"/>
    <xf numFmtId="2" fontId="493" fillId="0" borderId="0" xfId="0" applyNumberFormat="1" applyFont="1" applyBorder="1"/>
    <xf numFmtId="2" fontId="493" fillId="0" borderId="0" xfId="0" applyNumberFormat="1" applyFont="1" applyFill="1" applyBorder="1"/>
    <xf numFmtId="4" fontId="494" fillId="0" borderId="164" xfId="0" applyNumberFormat="1" applyFont="1" applyBorder="1" applyAlignment="1"/>
    <xf numFmtId="4" fontId="494" fillId="0" borderId="11" xfId="0" applyNumberFormat="1" applyFont="1" applyBorder="1" applyAlignment="1"/>
    <xf numFmtId="4" fontId="494" fillId="0" borderId="19" xfId="0" applyNumberFormat="1" applyFont="1" applyBorder="1" applyAlignment="1"/>
    <xf numFmtId="0" fontId="180" fillId="0" borderId="0" xfId="0" applyFont="1" applyAlignment="1">
      <alignment horizontal="center"/>
    </xf>
    <xf numFmtId="44" fontId="180" fillId="0" borderId="0" xfId="0" applyNumberFormat="1" applyFont="1" applyAlignment="1">
      <alignment horizontal="center"/>
    </xf>
    <xf numFmtId="44" fontId="7" fillId="0" borderId="163" xfId="0" applyNumberFormat="1" applyFont="1" applyBorder="1"/>
    <xf numFmtId="222" fontId="0" fillId="0" borderId="0" xfId="0" applyNumberFormat="1"/>
    <xf numFmtId="222" fontId="7" fillId="0" borderId="0" xfId="0" applyNumberFormat="1" applyFont="1"/>
    <xf numFmtId="0" fontId="493" fillId="0" borderId="27" xfId="0" applyFont="1" applyBorder="1" applyAlignment="1">
      <alignment horizontal="center"/>
    </xf>
    <xf numFmtId="0" fontId="493" fillId="0" borderId="0" xfId="0" applyFont="1" applyBorder="1" applyAlignment="1">
      <alignment horizontal="center"/>
    </xf>
    <xf numFmtId="0" fontId="0" fillId="0" borderId="0" xfId="0" applyAlignment="1">
      <alignment horizontal="center"/>
    </xf>
    <xf numFmtId="0" fontId="492" fillId="17" borderId="0" xfId="0" applyFont="1" applyFill="1" applyAlignment="1">
      <alignment vertical="center"/>
    </xf>
    <xf numFmtId="221" fontId="10" fillId="0" borderId="0" xfId="0" applyNumberFormat="1" applyFont="1"/>
    <xf numFmtId="221" fontId="10" fillId="17" borderId="0" xfId="0" applyNumberFormat="1" applyFont="1" applyFill="1"/>
    <xf numFmtId="0" fontId="2" fillId="0" borderId="0" xfId="0" applyFont="1" applyBorder="1" applyAlignment="1"/>
    <xf numFmtId="0" fontId="0" fillId="0" borderId="0" xfId="0" applyAlignment="1">
      <alignment horizontal="center"/>
    </xf>
    <xf numFmtId="0" fontId="493" fillId="0" borderId="27" xfId="0" applyFont="1" applyBorder="1" applyAlignment="1">
      <alignment horizontal="center"/>
    </xf>
    <xf numFmtId="0" fontId="493" fillId="0" borderId="0" xfId="0" applyFont="1" applyBorder="1" applyAlignment="1">
      <alignment horizontal="center"/>
    </xf>
    <xf numFmtId="1" fontId="494" fillId="0" borderId="163" xfId="0" applyNumberFormat="1" applyFont="1" applyBorder="1" applyAlignment="1">
      <alignment horizontal="center" vertical="center"/>
    </xf>
    <xf numFmtId="0" fontId="498" fillId="0" borderId="163" xfId="0" applyFont="1" applyBorder="1" applyAlignment="1">
      <alignment horizontal="center" wrapText="1" shrinkToFit="1"/>
    </xf>
    <xf numFmtId="44" fontId="499" fillId="0" borderId="0" xfId="0" applyNumberFormat="1" applyFont="1"/>
    <xf numFmtId="0" fontId="499" fillId="0" borderId="0" xfId="0" applyFont="1" applyAlignment="1">
      <alignment vertical="center"/>
    </xf>
    <xf numFmtId="0" fontId="499" fillId="0" borderId="0" xfId="0" applyFont="1"/>
    <xf numFmtId="0" fontId="0" fillId="0" borderId="0" xfId="0" applyAlignment="1">
      <alignment horizontal="center"/>
    </xf>
    <xf numFmtId="0" fontId="493" fillId="0" borderId="27" xfId="0" applyFont="1" applyBorder="1" applyAlignment="1">
      <alignment horizontal="center"/>
    </xf>
    <xf numFmtId="0" fontId="493" fillId="0" borderId="0" xfId="0" applyFont="1" applyBorder="1" applyAlignment="1">
      <alignment horizontal="center"/>
    </xf>
    <xf numFmtId="1" fontId="494" fillId="0" borderId="19" xfId="0" applyNumberFormat="1" applyFont="1" applyBorder="1" applyAlignment="1">
      <alignment horizontal="center" vertical="center"/>
    </xf>
    <xf numFmtId="2" fontId="494" fillId="0" borderId="19" xfId="0" applyNumberFormat="1" applyFont="1" applyBorder="1" applyAlignment="1">
      <alignment vertical="center"/>
    </xf>
    <xf numFmtId="2" fontId="494" fillId="0" borderId="19" xfId="0" applyNumberFormat="1" applyFont="1" applyBorder="1" applyAlignment="1">
      <alignment horizontal="center" vertical="center"/>
    </xf>
    <xf numFmtId="0" fontId="493" fillId="0" borderId="18" xfId="0" applyFont="1" applyBorder="1" applyAlignment="1"/>
    <xf numFmtId="3" fontId="493" fillId="0" borderId="28" xfId="0" applyNumberFormat="1" applyFont="1" applyBorder="1" applyAlignment="1">
      <alignment horizontal="center"/>
    </xf>
    <xf numFmtId="2" fontId="493" fillId="0" borderId="18" xfId="0" applyNumberFormat="1" applyFont="1" applyBorder="1" applyAlignment="1"/>
    <xf numFmtId="3" fontId="493" fillId="0" borderId="29" xfId="0" applyNumberFormat="1" applyFont="1" applyBorder="1" applyAlignment="1">
      <alignment horizontal="center"/>
    </xf>
    <xf numFmtId="0" fontId="495" fillId="0" borderId="29" xfId="0" applyFont="1" applyBorder="1" applyAlignment="1">
      <alignment horizontal="center"/>
    </xf>
    <xf numFmtId="4" fontId="493" fillId="0" borderId="18" xfId="0" applyNumberFormat="1" applyFont="1" applyFill="1" applyBorder="1"/>
    <xf numFmtId="2" fontId="493" fillId="0" borderId="29" xfId="0" applyNumberFormat="1" applyFont="1" applyBorder="1"/>
    <xf numFmtId="44" fontId="500" fillId="0" borderId="0" xfId="0" applyNumberFormat="1" applyFont="1"/>
    <xf numFmtId="44" fontId="456" fillId="0" borderId="0" xfId="0" applyNumberFormat="1" applyFont="1"/>
    <xf numFmtId="0" fontId="456" fillId="0" borderId="0" xfId="0" applyFont="1" applyAlignment="1">
      <alignment horizontal="center"/>
    </xf>
    <xf numFmtId="0" fontId="456" fillId="0" borderId="0" xfId="0" applyFont="1"/>
    <xf numFmtId="4" fontId="456" fillId="0" borderId="0" xfId="0" applyNumberFormat="1" applyFont="1" applyAlignment="1">
      <alignment horizontal="center"/>
    </xf>
    <xf numFmtId="3" fontId="496" fillId="0" borderId="27" xfId="0" applyNumberFormat="1" applyFont="1" applyBorder="1" applyAlignment="1">
      <alignment horizontal="center"/>
    </xf>
    <xf numFmtId="2" fontId="496" fillId="0" borderId="38" xfId="0" applyNumberFormat="1" applyFont="1" applyBorder="1" applyAlignment="1"/>
    <xf numFmtId="3" fontId="496" fillId="0" borderId="0" xfId="0" applyNumberFormat="1" applyFont="1" applyBorder="1" applyAlignment="1">
      <alignment horizontal="center"/>
    </xf>
    <xf numFmtId="0" fontId="496" fillId="0" borderId="0" xfId="0" applyFont="1" applyBorder="1"/>
    <xf numFmtId="4" fontId="496" fillId="0" borderId="38" xfId="0" applyNumberFormat="1" applyFont="1" applyBorder="1"/>
    <xf numFmtId="2" fontId="496" fillId="0" borderId="0" xfId="0" applyNumberFormat="1" applyFont="1" applyBorder="1"/>
    <xf numFmtId="4" fontId="501" fillId="0" borderId="11" xfId="0" applyNumberFormat="1" applyFont="1" applyBorder="1" applyAlignment="1"/>
    <xf numFmtId="0" fontId="502" fillId="0" borderId="0" xfId="0" applyFont="1"/>
    <xf numFmtId="0" fontId="0" fillId="0" borderId="0" xfId="0" applyAlignment="1">
      <alignment horizontal="center"/>
    </xf>
    <xf numFmtId="0" fontId="493" fillId="0" borderId="27" xfId="0" applyFont="1" applyBorder="1" applyAlignment="1">
      <alignment horizontal="center"/>
    </xf>
    <xf numFmtId="0" fontId="493" fillId="0" borderId="0" xfId="0" applyFont="1" applyBorder="1" applyAlignment="1">
      <alignment horizontal="center"/>
    </xf>
    <xf numFmtId="188" fontId="71" fillId="0" borderId="0" xfId="0" applyNumberFormat="1" applyFont="1" applyAlignment="1">
      <alignment horizontal="center"/>
    </xf>
    <xf numFmtId="0" fontId="496" fillId="0" borderId="27" xfId="0" applyFont="1" applyBorder="1"/>
    <xf numFmtId="0" fontId="496" fillId="0" borderId="0" xfId="0" applyFont="1" applyBorder="1" applyAlignment="1">
      <alignment horizontal="center"/>
    </xf>
    <xf numFmtId="4" fontId="496" fillId="0" borderId="38" xfId="0" applyNumberFormat="1" applyFont="1" applyFill="1" applyBorder="1"/>
    <xf numFmtId="2" fontId="496" fillId="0" borderId="0" xfId="0" applyNumberFormat="1" applyFont="1" applyFill="1" applyBorder="1"/>
    <xf numFmtId="0" fontId="503" fillId="0" borderId="27" xfId="0" applyFont="1" applyBorder="1" applyAlignment="1">
      <alignment horizontal="center"/>
    </xf>
    <xf numFmtId="0" fontId="503" fillId="0" borderId="38" xfId="0" applyFont="1" applyBorder="1" applyAlignment="1"/>
    <xf numFmtId="3" fontId="503" fillId="0" borderId="27" xfId="0" applyNumberFormat="1" applyFont="1" applyBorder="1" applyAlignment="1">
      <alignment horizontal="center"/>
    </xf>
    <xf numFmtId="2" fontId="503" fillId="0" borderId="38" xfId="0" applyNumberFormat="1" applyFont="1" applyBorder="1" applyAlignment="1"/>
    <xf numFmtId="3" fontId="503" fillId="0" borderId="0" xfId="0" applyNumberFormat="1" applyFont="1" applyBorder="1" applyAlignment="1">
      <alignment horizontal="center"/>
    </xf>
    <xf numFmtId="0" fontId="503" fillId="0" borderId="0" xfId="0" applyFont="1" applyBorder="1"/>
    <xf numFmtId="4" fontId="503" fillId="0" borderId="38" xfId="0" applyNumberFormat="1" applyFont="1" applyBorder="1"/>
    <xf numFmtId="2" fontId="503" fillId="0" borderId="0" xfId="0" applyNumberFormat="1" applyFont="1" applyBorder="1"/>
    <xf numFmtId="4" fontId="504" fillId="0" borderId="11" xfId="0" applyNumberFormat="1" applyFont="1" applyBorder="1" applyAlignment="1"/>
    <xf numFmtId="0" fontId="505" fillId="17" borderId="27" xfId="0" applyFont="1" applyFill="1" applyBorder="1" applyAlignment="1">
      <alignment horizontal="center"/>
    </xf>
    <xf numFmtId="0" fontId="505" fillId="17" borderId="38" xfId="0" applyFont="1" applyFill="1" applyBorder="1" applyAlignment="1"/>
    <xf numFmtId="3" fontId="505" fillId="17" borderId="27" xfId="0" applyNumberFormat="1" applyFont="1" applyFill="1" applyBorder="1" applyAlignment="1">
      <alignment horizontal="center"/>
    </xf>
    <xf numFmtId="2" fontId="505" fillId="17" borderId="38" xfId="0" applyNumberFormat="1" applyFont="1" applyFill="1" applyBorder="1" applyAlignment="1"/>
    <xf numFmtId="3" fontId="505" fillId="17" borderId="0" xfId="0" applyNumberFormat="1" applyFont="1" applyFill="1" applyBorder="1" applyAlignment="1">
      <alignment horizontal="center"/>
    </xf>
    <xf numFmtId="0" fontId="505" fillId="17" borderId="0" xfId="0" applyFont="1" applyFill="1" applyBorder="1"/>
    <xf numFmtId="4" fontId="505" fillId="17" borderId="38" xfId="0" applyNumberFormat="1" applyFont="1" applyFill="1" applyBorder="1"/>
    <xf numFmtId="2" fontId="505" fillId="17" borderId="0" xfId="0" applyNumberFormat="1" applyFont="1" applyFill="1" applyBorder="1"/>
    <xf numFmtId="4" fontId="506" fillId="17" borderId="11" xfId="0" applyNumberFormat="1" applyFont="1" applyFill="1" applyBorder="1" applyAlignment="1"/>
    <xf numFmtId="0" fontId="507" fillId="17" borderId="0" xfId="0" applyFont="1" applyFill="1"/>
    <xf numFmtId="44" fontId="507" fillId="17" borderId="0" xfId="0" applyNumberFormat="1" applyFont="1" applyFill="1"/>
    <xf numFmtId="0" fontId="508" fillId="17" borderId="0" xfId="0" applyFont="1" applyFill="1"/>
    <xf numFmtId="216" fontId="467" fillId="0" borderId="27" xfId="0" applyNumberFormat="1" applyFont="1" applyBorder="1" applyAlignment="1">
      <alignment vertical="center"/>
    </xf>
    <xf numFmtId="44" fontId="457" fillId="0" borderId="0" xfId="0" applyNumberFormat="1" applyFont="1"/>
    <xf numFmtId="0" fontId="510" fillId="0" borderId="34" xfId="0" applyFont="1" applyFill="1" applyBorder="1" applyAlignment="1">
      <alignment horizontal="center" vertical="center" wrapText="1"/>
    </xf>
    <xf numFmtId="0" fontId="510" fillId="0" borderId="24" xfId="0" applyFont="1" applyFill="1" applyBorder="1" applyAlignment="1">
      <alignment horizontal="center" vertical="center" wrapText="1"/>
    </xf>
    <xf numFmtId="0" fontId="492" fillId="0" borderId="27" xfId="0" applyFont="1" applyBorder="1" applyAlignment="1">
      <alignment vertical="center"/>
    </xf>
    <xf numFmtId="200" fontId="492" fillId="0" borderId="38" xfId="0" applyNumberFormat="1" applyFont="1" applyBorder="1" applyAlignment="1">
      <alignment vertical="center"/>
    </xf>
    <xf numFmtId="0" fontId="509" fillId="0" borderId="27" xfId="0" applyFont="1" applyBorder="1" applyAlignment="1">
      <alignment vertical="center"/>
    </xf>
    <xf numFmtId="200" fontId="509" fillId="0" borderId="38" xfId="0" applyNumberFormat="1" applyFont="1" applyBorder="1" applyAlignment="1">
      <alignment vertical="center"/>
    </xf>
    <xf numFmtId="0" fontId="490" fillId="0" borderId="27" xfId="0" applyFont="1" applyBorder="1" applyAlignment="1">
      <alignment vertical="center"/>
    </xf>
    <xf numFmtId="200" fontId="490" fillId="0" borderId="38" xfId="0" applyNumberFormat="1" applyFont="1" applyBorder="1" applyAlignment="1">
      <alignment vertical="center"/>
    </xf>
    <xf numFmtId="0" fontId="490" fillId="0" borderId="28" xfId="0" applyFont="1" applyBorder="1" applyAlignment="1">
      <alignment horizontal="center" vertical="center"/>
    </xf>
    <xf numFmtId="166" fontId="490" fillId="0" borderId="18" xfId="0" applyNumberFormat="1" applyFont="1" applyBorder="1" applyAlignment="1">
      <alignment vertical="center"/>
    </xf>
    <xf numFmtId="0" fontId="0" fillId="0" borderId="0" xfId="0" applyAlignment="1">
      <alignment horizontal="center"/>
    </xf>
    <xf numFmtId="0" fontId="493" fillId="0" borderId="27" xfId="0" applyFont="1" applyBorder="1" applyAlignment="1">
      <alignment horizontal="center"/>
    </xf>
    <xf numFmtId="0" fontId="493" fillId="0" borderId="0" xfId="0" applyFont="1" applyBorder="1" applyAlignment="1">
      <alignment horizontal="center"/>
    </xf>
    <xf numFmtId="0" fontId="493" fillId="0" borderId="27" xfId="0" applyFont="1" applyBorder="1" applyAlignment="1">
      <alignment horizontal="center"/>
    </xf>
    <xf numFmtId="0" fontId="493" fillId="0" borderId="0" xfId="0" applyFont="1" applyBorder="1" applyAlignment="1">
      <alignment horizontal="center"/>
    </xf>
    <xf numFmtId="0" fontId="507" fillId="0" borderId="53" xfId="0" applyFont="1" applyBorder="1"/>
    <xf numFmtId="0" fontId="507" fillId="0" borderId="42" xfId="0" applyFont="1" applyBorder="1"/>
    <xf numFmtId="0" fontId="507" fillId="0" borderId="55" xfId="0" applyFont="1" applyBorder="1"/>
    <xf numFmtId="14" fontId="461" fillId="0" borderId="7" xfId="0" applyNumberFormat="1" applyFont="1" applyFill="1" applyBorder="1" applyAlignment="1">
      <alignment horizontal="center" vertical="center" shrinkToFit="1"/>
    </xf>
    <xf numFmtId="41" fontId="0" fillId="0" borderId="9" xfId="0" applyNumberFormat="1" applyFill="1" applyBorder="1"/>
    <xf numFmtId="41" fontId="0" fillId="0" borderId="68" xfId="0" applyNumberFormat="1" applyFill="1" applyBorder="1"/>
    <xf numFmtId="41" fontId="0" fillId="0" borderId="6" xfId="0" applyNumberFormat="1" applyFill="1" applyBorder="1"/>
    <xf numFmtId="0" fontId="512" fillId="0" borderId="163" xfId="0" applyFont="1" applyBorder="1" applyAlignment="1">
      <alignment horizontal="center" wrapText="1" shrinkToFit="1"/>
    </xf>
    <xf numFmtId="3" fontId="513" fillId="0" borderId="27" xfId="0" applyNumberFormat="1" applyFont="1" applyBorder="1" applyAlignment="1">
      <alignment horizontal="center"/>
    </xf>
    <xf numFmtId="2" fontId="513" fillId="0" borderId="37" xfId="0" applyNumberFormat="1" applyFont="1" applyBorder="1" applyAlignment="1"/>
    <xf numFmtId="2" fontId="513" fillId="0" borderId="38" xfId="0" applyNumberFormat="1" applyFont="1" applyBorder="1" applyAlignment="1"/>
    <xf numFmtId="0" fontId="513" fillId="0" borderId="27" xfId="0" applyFont="1" applyBorder="1"/>
    <xf numFmtId="3" fontId="513" fillId="17" borderId="27" xfId="0" applyNumberFormat="1" applyFont="1" applyFill="1" applyBorder="1" applyAlignment="1">
      <alignment horizontal="center"/>
    </xf>
    <xf numFmtId="2" fontId="513" fillId="17" borderId="38" xfId="0" applyNumberFormat="1" applyFont="1" applyFill="1" applyBorder="1" applyAlignment="1"/>
    <xf numFmtId="0" fontId="513" fillId="0" borderId="27" xfId="0" applyFont="1" applyBorder="1" applyAlignment="1">
      <alignment horizontal="center"/>
    </xf>
    <xf numFmtId="3" fontId="513" fillId="0" borderId="28" xfId="0" applyNumberFormat="1" applyFont="1" applyBorder="1" applyAlignment="1">
      <alignment horizontal="center"/>
    </xf>
    <xf numFmtId="2" fontId="513" fillId="0" borderId="18" xfId="0" applyNumberFormat="1" applyFont="1" applyBorder="1" applyAlignment="1"/>
    <xf numFmtId="1" fontId="512" fillId="0" borderId="19" xfId="0" applyNumberFormat="1" applyFont="1" applyBorder="1" applyAlignment="1">
      <alignment horizontal="center" vertical="center"/>
    </xf>
    <xf numFmtId="2" fontId="512" fillId="0" borderId="19" xfId="0" applyNumberFormat="1" applyFont="1" applyBorder="1" applyAlignment="1">
      <alignment vertical="center"/>
    </xf>
    <xf numFmtId="0" fontId="505" fillId="17" borderId="0" xfId="0" applyFont="1" applyFill="1" applyBorder="1" applyAlignment="1">
      <alignment horizontal="center"/>
    </xf>
    <xf numFmtId="2" fontId="514" fillId="17" borderId="0" xfId="0" applyNumberFormat="1" applyFont="1" applyFill="1" applyAlignment="1">
      <alignment horizontal="center"/>
    </xf>
    <xf numFmtId="0" fontId="493" fillId="0" borderId="27" xfId="0" applyFont="1" applyBorder="1" applyAlignment="1">
      <alignment horizontal="center"/>
    </xf>
    <xf numFmtId="0" fontId="493" fillId="0" borderId="0" xfId="0" applyFont="1" applyBorder="1" applyAlignment="1">
      <alignment horizontal="center"/>
    </xf>
    <xf numFmtId="213" fontId="433" fillId="19" borderId="19" xfId="0" applyNumberFormat="1" applyFont="1" applyFill="1" applyBorder="1" applyAlignment="1">
      <alignment horizontal="center"/>
    </xf>
    <xf numFmtId="197" fontId="362" fillId="19" borderId="1" xfId="0" applyNumberFormat="1" applyFont="1" applyFill="1" applyBorder="1"/>
    <xf numFmtId="212" fontId="463" fillId="19" borderId="1" xfId="0" applyNumberFormat="1" applyFont="1" applyFill="1" applyBorder="1" applyAlignment="1">
      <alignment horizontal="center"/>
    </xf>
    <xf numFmtId="0" fontId="493" fillId="0" borderId="29" xfId="0" applyFont="1" applyBorder="1" applyAlignment="1">
      <alignment horizontal="center"/>
    </xf>
    <xf numFmtId="44" fontId="2" fillId="0" borderId="0" xfId="0" applyNumberFormat="1" applyFont="1"/>
    <xf numFmtId="0" fontId="515" fillId="17" borderId="27" xfId="0" applyFont="1" applyFill="1" applyBorder="1" applyAlignment="1">
      <alignment horizontal="center"/>
    </xf>
    <xf numFmtId="0" fontId="515" fillId="17" borderId="38" xfId="0" applyFont="1" applyFill="1" applyBorder="1" applyAlignment="1"/>
    <xf numFmtId="3" fontId="515" fillId="17" borderId="27" xfId="0" applyNumberFormat="1" applyFont="1" applyFill="1" applyBorder="1" applyAlignment="1">
      <alignment horizontal="center"/>
    </xf>
    <xf numFmtId="2" fontId="515" fillId="17" borderId="38" xfId="0" applyNumberFormat="1" applyFont="1" applyFill="1" applyBorder="1" applyAlignment="1"/>
    <xf numFmtId="3" fontId="515" fillId="17" borderId="0" xfId="0" applyNumberFormat="1" applyFont="1" applyFill="1" applyBorder="1" applyAlignment="1">
      <alignment horizontal="center"/>
    </xf>
    <xf numFmtId="0" fontId="515" fillId="17" borderId="0" xfId="0" applyFont="1" applyFill="1" applyBorder="1" applyAlignment="1">
      <alignment horizontal="center"/>
    </xf>
    <xf numFmtId="4" fontId="515" fillId="17" borderId="38" xfId="0" applyNumberFormat="1" applyFont="1" applyFill="1" applyBorder="1"/>
    <xf numFmtId="2" fontId="515" fillId="17" borderId="0" xfId="0" applyNumberFormat="1" applyFont="1" applyFill="1" applyBorder="1"/>
    <xf numFmtId="4" fontId="516" fillId="17" borderId="11" xfId="0" applyNumberFormat="1" applyFont="1" applyFill="1" applyBorder="1" applyAlignment="1"/>
    <xf numFmtId="44" fontId="7" fillId="17" borderId="0" xfId="0" applyNumberFormat="1" applyFont="1" applyFill="1"/>
    <xf numFmtId="0" fontId="0" fillId="0" borderId="0" xfId="0" applyAlignment="1">
      <alignment horizontal="center"/>
    </xf>
    <xf numFmtId="167" fontId="2" fillId="0" borderId="1" xfId="0" applyNumberFormat="1" applyFont="1" applyFill="1" applyBorder="1" applyAlignment="1">
      <alignment horizontal="left" indent="1"/>
    </xf>
    <xf numFmtId="167" fontId="7" fillId="0" borderId="1" xfId="0" applyNumberFormat="1" applyFont="1" applyFill="1" applyBorder="1" applyAlignment="1">
      <alignment horizontal="left" indent="1"/>
    </xf>
    <xf numFmtId="202" fontId="0" fillId="0" borderId="0" xfId="0" applyNumberFormat="1" applyBorder="1" applyAlignment="1">
      <alignment horizontal="center"/>
    </xf>
    <xf numFmtId="167" fontId="2" fillId="0" borderId="0" xfId="0" applyNumberFormat="1" applyFont="1" applyBorder="1" applyAlignment="1">
      <alignment horizontal="center"/>
    </xf>
    <xf numFmtId="202" fontId="50" fillId="0" borderId="19" xfId="0" applyNumberFormat="1" applyFont="1" applyBorder="1" applyAlignment="1">
      <alignment horizontal="center"/>
    </xf>
    <xf numFmtId="202" fontId="50" fillId="0" borderId="1" xfId="0" applyNumberFormat="1" applyFont="1" applyBorder="1" applyAlignment="1">
      <alignment horizontal="center"/>
    </xf>
    <xf numFmtId="167" fontId="2" fillId="0" borderId="0" xfId="0" applyNumberFormat="1" applyFont="1" applyFill="1" applyBorder="1" applyAlignment="1">
      <alignment horizontal="left" indent="1"/>
    </xf>
    <xf numFmtId="2" fontId="28" fillId="0" borderId="0" xfId="0" applyNumberFormat="1" applyFont="1" applyBorder="1" applyAlignment="1">
      <alignment horizontal="center"/>
    </xf>
    <xf numFmtId="202" fontId="28" fillId="0" borderId="0" xfId="0" applyNumberFormat="1" applyFont="1" applyBorder="1" applyAlignment="1">
      <alignment horizontal="center"/>
    </xf>
    <xf numFmtId="202" fontId="50" fillId="0" borderId="0" xfId="0" applyNumberFormat="1" applyFont="1" applyBorder="1" applyAlignment="1">
      <alignment horizontal="center"/>
    </xf>
    <xf numFmtId="0" fontId="135" fillId="0" borderId="163" xfId="0" applyFont="1" applyBorder="1" applyAlignment="1">
      <alignment horizontal="center"/>
    </xf>
    <xf numFmtId="166" fontId="0" fillId="0" borderId="163" xfId="5" applyFont="1" applyBorder="1" applyAlignment="1">
      <alignment horizontal="center"/>
    </xf>
    <xf numFmtId="0" fontId="493" fillId="0" borderId="27" xfId="0" applyFont="1" applyBorder="1" applyAlignment="1">
      <alignment horizontal="center"/>
    </xf>
    <xf numFmtId="0" fontId="493" fillId="0" borderId="0" xfId="0" applyFont="1" applyBorder="1" applyAlignment="1">
      <alignment horizontal="center"/>
    </xf>
    <xf numFmtId="0" fontId="456" fillId="19" borderId="0" xfId="0" applyFont="1" applyFill="1"/>
    <xf numFmtId="0" fontId="518" fillId="17" borderId="38" xfId="0" applyFont="1" applyFill="1" applyBorder="1" applyAlignment="1"/>
    <xf numFmtId="0" fontId="493" fillId="0" borderId="27" xfId="0" applyFont="1" applyBorder="1" applyAlignment="1">
      <alignment horizontal="center"/>
    </xf>
    <xf numFmtId="0" fontId="493" fillId="0" borderId="0" xfId="0" applyFont="1" applyBorder="1" applyAlignment="1">
      <alignment horizontal="center"/>
    </xf>
    <xf numFmtId="0" fontId="2" fillId="17" borderId="11" xfId="0" applyFont="1" applyFill="1" applyBorder="1" applyAlignment="1">
      <alignment horizontal="center" vertical="center"/>
    </xf>
    <xf numFmtId="0" fontId="4" fillId="0" borderId="0" xfId="0" applyNumberFormat="1" applyFont="1" applyBorder="1" applyAlignment="1">
      <alignment horizontal="center"/>
    </xf>
    <xf numFmtId="0" fontId="18" fillId="0" borderId="0" xfId="0" applyNumberFormat="1" applyFont="1" applyBorder="1" applyAlignment="1">
      <alignment horizontal="center"/>
    </xf>
    <xf numFmtId="0" fontId="10" fillId="0" borderId="0" xfId="0" applyNumberFormat="1" applyFont="1" applyAlignment="1">
      <alignment horizontal="center"/>
    </xf>
    <xf numFmtId="0" fontId="10" fillId="0" borderId="0" xfId="0" applyNumberFormat="1" applyFont="1" applyAlignment="1"/>
    <xf numFmtId="0" fontId="4" fillId="0" borderId="163" xfId="0" applyFont="1" applyBorder="1" applyAlignment="1">
      <alignment horizontal="center" vertical="center"/>
    </xf>
    <xf numFmtId="0" fontId="7" fillId="21" borderId="163" xfId="0" applyFont="1" applyFill="1" applyBorder="1"/>
    <xf numFmtId="0" fontId="7" fillId="21" borderId="163" xfId="0" applyFont="1" applyFill="1" applyBorder="1" applyAlignment="1">
      <alignment horizontal="center"/>
    </xf>
    <xf numFmtId="169" fontId="279" fillId="21" borderId="163" xfId="0" applyNumberFormat="1" applyFont="1" applyFill="1" applyBorder="1" applyAlignment="1">
      <alignment horizontal="center" vertical="center" wrapText="1" shrinkToFit="1"/>
    </xf>
    <xf numFmtId="0" fontId="360" fillId="21" borderId="163" xfId="0" applyFont="1" applyFill="1" applyBorder="1" applyAlignment="1">
      <alignment horizontal="center"/>
    </xf>
    <xf numFmtId="0" fontId="430" fillId="21" borderId="163" xfId="0" applyFont="1" applyFill="1" applyBorder="1" applyAlignment="1">
      <alignment horizontal="center"/>
    </xf>
    <xf numFmtId="204" fontId="18" fillId="21" borderId="163" xfId="0" applyNumberFormat="1" applyFont="1" applyFill="1" applyBorder="1" applyAlignment="1">
      <alignment horizontal="center"/>
    </xf>
    <xf numFmtId="0" fontId="179" fillId="21" borderId="163" xfId="0" applyFont="1" applyFill="1" applyBorder="1" applyAlignment="1">
      <alignment horizontal="center" vertical="center"/>
    </xf>
    <xf numFmtId="0" fontId="0" fillId="0" borderId="0" xfId="0" applyAlignment="1">
      <alignment horizontal="center"/>
    </xf>
    <xf numFmtId="0" fontId="493" fillId="0" borderId="27" xfId="0" applyFont="1" applyBorder="1" applyAlignment="1">
      <alignment horizontal="center"/>
    </xf>
    <xf numFmtId="0" fontId="493" fillId="0" borderId="0" xfId="0" applyFont="1" applyBorder="1" applyAlignment="1">
      <alignment horizontal="center"/>
    </xf>
    <xf numFmtId="0" fontId="519" fillId="0" borderId="0" xfId="0" applyFont="1"/>
    <xf numFmtId="0" fontId="0" fillId="0" borderId="0" xfId="0" applyAlignment="1">
      <alignment horizontal="center"/>
    </xf>
    <xf numFmtId="0" fontId="493" fillId="0" borderId="27" xfId="0" applyFont="1" applyBorder="1" applyAlignment="1">
      <alignment horizontal="center"/>
    </xf>
    <xf numFmtId="0" fontId="493" fillId="0" borderId="0" xfId="0" applyFont="1" applyBorder="1" applyAlignment="1">
      <alignment horizontal="center"/>
    </xf>
    <xf numFmtId="4" fontId="501" fillId="0" borderId="164" xfId="0" applyNumberFormat="1" applyFont="1" applyBorder="1" applyAlignment="1"/>
    <xf numFmtId="0" fontId="520" fillId="17" borderId="38" xfId="0" applyFont="1" applyFill="1" applyBorder="1" applyAlignment="1"/>
    <xf numFmtId="0" fontId="503" fillId="17" borderId="27" xfId="0" applyFont="1" applyFill="1" applyBorder="1" applyAlignment="1">
      <alignment horizontal="center"/>
    </xf>
    <xf numFmtId="0" fontId="503" fillId="17" borderId="38" xfId="0" applyFont="1" applyFill="1" applyBorder="1" applyAlignment="1"/>
    <xf numFmtId="3" fontId="503" fillId="17" borderId="27" xfId="0" applyNumberFormat="1" applyFont="1" applyFill="1" applyBorder="1" applyAlignment="1">
      <alignment horizontal="center"/>
    </xf>
    <xf numFmtId="2" fontId="503" fillId="17" borderId="38" xfId="0" applyNumberFormat="1" applyFont="1" applyFill="1" applyBorder="1" applyAlignment="1"/>
    <xf numFmtId="3" fontId="503" fillId="17" borderId="0" xfId="0" applyNumberFormat="1" applyFont="1" applyFill="1" applyBorder="1" applyAlignment="1">
      <alignment horizontal="center"/>
    </xf>
    <xf numFmtId="0" fontId="503" fillId="17" borderId="0" xfId="0" applyFont="1" applyFill="1" applyBorder="1" applyAlignment="1">
      <alignment horizontal="center"/>
    </xf>
    <xf numFmtId="4" fontId="503" fillId="17" borderId="38" xfId="0" applyNumberFormat="1" applyFont="1" applyFill="1" applyBorder="1"/>
    <xf numFmtId="2" fontId="503" fillId="17" borderId="0" xfId="0" applyNumberFormat="1" applyFont="1" applyFill="1" applyBorder="1"/>
    <xf numFmtId="4" fontId="504" fillId="17" borderId="11" xfId="0" applyNumberFormat="1" applyFont="1" applyFill="1" applyBorder="1" applyAlignment="1"/>
    <xf numFmtId="4" fontId="501" fillId="17" borderId="11" xfId="0" applyNumberFormat="1" applyFont="1" applyFill="1" applyBorder="1" applyAlignment="1"/>
    <xf numFmtId="0" fontId="0" fillId="0" borderId="0" xfId="0" applyAlignment="1">
      <alignment horizontal="center"/>
    </xf>
    <xf numFmtId="0" fontId="493" fillId="0" borderId="27" xfId="0" applyFont="1" applyBorder="1" applyAlignment="1">
      <alignment horizontal="center"/>
    </xf>
    <xf numFmtId="0" fontId="493" fillId="0" borderId="0" xfId="0" applyFont="1" applyBorder="1" applyAlignment="1">
      <alignment horizontal="center"/>
    </xf>
    <xf numFmtId="14" fontId="461" fillId="0" borderId="33" xfId="0" applyNumberFormat="1" applyFont="1" applyFill="1" applyBorder="1" applyAlignment="1">
      <alignment horizontal="center" vertical="center" shrinkToFit="1"/>
    </xf>
    <xf numFmtId="41" fontId="0" fillId="0" borderId="30" xfId="0" applyNumberFormat="1" applyFill="1" applyBorder="1"/>
    <xf numFmtId="41" fontId="0" fillId="0" borderId="167" xfId="0" applyNumberFormat="1" applyFill="1" applyBorder="1"/>
    <xf numFmtId="41" fontId="0" fillId="0" borderId="167" xfId="0" applyNumberFormat="1" applyBorder="1"/>
    <xf numFmtId="41" fontId="0" fillId="0" borderId="169" xfId="0" applyNumberFormat="1" applyBorder="1"/>
    <xf numFmtId="14" fontId="461" fillId="0" borderId="20" xfId="0" applyNumberFormat="1" applyFont="1" applyFill="1" applyBorder="1" applyAlignment="1">
      <alignment horizontal="center" vertical="center" shrinkToFit="1"/>
    </xf>
    <xf numFmtId="14" fontId="511" fillId="17" borderId="156" xfId="0" applyNumberFormat="1" applyFont="1" applyFill="1" applyBorder="1" applyAlignment="1">
      <alignment horizontal="center"/>
    </xf>
    <xf numFmtId="14" fontId="521" fillId="0" borderId="20" xfId="0" applyNumberFormat="1" applyFont="1" applyFill="1" applyBorder="1" applyAlignment="1">
      <alignment horizontal="center"/>
    </xf>
    <xf numFmtId="14" fontId="521" fillId="0" borderId="28" xfId="0" applyNumberFormat="1" applyFont="1" applyFill="1" applyBorder="1" applyAlignment="1">
      <alignment horizontal="center"/>
    </xf>
    <xf numFmtId="4" fontId="496" fillId="0" borderId="164" xfId="0" applyNumberFormat="1" applyFont="1" applyBorder="1" applyAlignment="1"/>
    <xf numFmtId="4" fontId="493" fillId="0" borderId="11" xfId="0" applyNumberFormat="1" applyFont="1" applyBorder="1" applyAlignment="1"/>
    <xf numFmtId="4" fontId="496" fillId="0" borderId="11" xfId="0" applyNumberFormat="1" applyFont="1" applyBorder="1" applyAlignment="1"/>
    <xf numFmtId="4" fontId="503" fillId="17" borderId="11" xfId="0" applyNumberFormat="1" applyFont="1" applyFill="1" applyBorder="1" applyAlignment="1"/>
    <xf numFmtId="4" fontId="493" fillId="0" borderId="19" xfId="0" applyNumberFormat="1" applyFont="1" applyBorder="1" applyAlignment="1"/>
    <xf numFmtId="0" fontId="0" fillId="0" borderId="0" xfId="0" applyAlignment="1">
      <alignment horizontal="center"/>
    </xf>
    <xf numFmtId="0" fontId="360" fillId="22" borderId="108" xfId="0" applyFont="1" applyFill="1" applyBorder="1" applyAlignment="1">
      <alignment horizontal="center"/>
    </xf>
    <xf numFmtId="2" fontId="493" fillId="19" borderId="0" xfId="0" applyNumberFormat="1" applyFont="1" applyFill="1" applyBorder="1"/>
    <xf numFmtId="4" fontId="496" fillId="19" borderId="11" xfId="0" applyNumberFormat="1" applyFont="1" applyFill="1" applyBorder="1" applyAlignment="1"/>
    <xf numFmtId="0" fontId="496" fillId="19" borderId="27" xfId="0" applyFont="1" applyFill="1" applyBorder="1" applyAlignment="1">
      <alignment horizontal="center"/>
    </xf>
    <xf numFmtId="0" fontId="496" fillId="19" borderId="38" xfId="0" applyFont="1" applyFill="1" applyBorder="1"/>
    <xf numFmtId="0" fontId="496" fillId="19" borderId="27" xfId="0" applyFont="1" applyFill="1" applyBorder="1"/>
    <xf numFmtId="2" fontId="496" fillId="19" borderId="38" xfId="0" applyNumberFormat="1" applyFont="1" applyFill="1" applyBorder="1" applyAlignment="1"/>
    <xf numFmtId="0" fontId="496" fillId="19" borderId="0" xfId="0" applyFont="1" applyFill="1" applyBorder="1" applyAlignment="1">
      <alignment horizontal="center"/>
    </xf>
    <xf numFmtId="4" fontId="496" fillId="19" borderId="38" xfId="0" applyNumberFormat="1" applyFont="1" applyFill="1" applyBorder="1"/>
    <xf numFmtId="3" fontId="496" fillId="19" borderId="27" xfId="0" applyNumberFormat="1" applyFont="1" applyFill="1" applyBorder="1" applyAlignment="1">
      <alignment horizontal="center"/>
    </xf>
    <xf numFmtId="3" fontId="496" fillId="19" borderId="0" xfId="0" applyNumberFormat="1" applyFont="1" applyFill="1" applyBorder="1" applyAlignment="1">
      <alignment horizontal="center"/>
    </xf>
    <xf numFmtId="0" fontId="501" fillId="19" borderId="38" xfId="0" applyFont="1" applyFill="1" applyBorder="1"/>
    <xf numFmtId="2" fontId="496" fillId="19" borderId="0" xfId="0" applyNumberFormat="1" applyFont="1" applyFill="1" applyBorder="1"/>
    <xf numFmtId="1" fontId="0" fillId="0" borderId="0" xfId="0" applyNumberFormat="1" applyAlignment="1">
      <alignment horizontal="center"/>
    </xf>
    <xf numFmtId="2" fontId="10" fillId="0" borderId="0" xfId="0" applyNumberFormat="1" applyFont="1"/>
    <xf numFmtId="166" fontId="425" fillId="0" borderId="0" xfId="0" applyNumberFormat="1" applyFont="1" applyAlignment="1">
      <alignment horizontal="center"/>
    </xf>
    <xf numFmtId="0" fontId="0" fillId="0" borderId="0" xfId="0" applyAlignment="1">
      <alignment horizontal="center"/>
    </xf>
    <xf numFmtId="0" fontId="493" fillId="0" borderId="27" xfId="0" applyFont="1" applyBorder="1" applyAlignment="1">
      <alignment horizontal="center"/>
    </xf>
    <xf numFmtId="0" fontId="493" fillId="0" borderId="0" xfId="0" applyFont="1" applyBorder="1" applyAlignment="1">
      <alignment horizontal="center"/>
    </xf>
    <xf numFmtId="0" fontId="493" fillId="0" borderId="27" xfId="0" applyFont="1" applyFill="1" applyBorder="1" applyAlignment="1">
      <alignment horizontal="center"/>
    </xf>
    <xf numFmtId="0" fontId="493" fillId="0" borderId="38" xfId="0" applyFont="1" applyFill="1" applyBorder="1"/>
    <xf numFmtId="0" fontId="493" fillId="0" borderId="27" xfId="0" applyFont="1" applyFill="1" applyBorder="1"/>
    <xf numFmtId="2" fontId="493" fillId="0" borderId="38" xfId="0" applyNumberFormat="1" applyFont="1" applyFill="1" applyBorder="1" applyAlignment="1"/>
    <xf numFmtId="0" fontId="493" fillId="0" borderId="0" xfId="0" applyFont="1" applyFill="1" applyBorder="1" applyAlignment="1">
      <alignment horizontal="center"/>
    </xf>
    <xf numFmtId="4" fontId="493" fillId="0" borderId="11" xfId="0" applyNumberFormat="1" applyFont="1" applyFill="1" applyBorder="1" applyAlignment="1"/>
    <xf numFmtId="3" fontId="493" fillId="0" borderId="27" xfId="0" applyNumberFormat="1" applyFont="1" applyFill="1" applyBorder="1" applyAlignment="1">
      <alignment horizontal="center"/>
    </xf>
    <xf numFmtId="3" fontId="493" fillId="0" borderId="0" xfId="0" applyNumberFormat="1" applyFont="1" applyFill="1" applyBorder="1" applyAlignment="1">
      <alignment horizontal="center"/>
    </xf>
    <xf numFmtId="0" fontId="457" fillId="0" borderId="0" xfId="0" applyFont="1"/>
    <xf numFmtId="4" fontId="496" fillId="0" borderId="11" xfId="0" applyNumberFormat="1" applyFont="1" applyFill="1" applyBorder="1" applyAlignment="1"/>
    <xf numFmtId="0" fontId="7" fillId="0" borderId="0" xfId="0" applyFont="1" applyAlignment="1">
      <alignment horizontal="center"/>
    </xf>
    <xf numFmtId="0" fontId="0" fillId="0" borderId="0" xfId="0" applyAlignment="1">
      <alignment horizontal="center"/>
    </xf>
    <xf numFmtId="0" fontId="493" fillId="0" borderId="0" xfId="0" applyFont="1" applyBorder="1" applyAlignment="1">
      <alignment horizontal="center"/>
    </xf>
    <xf numFmtId="0" fontId="493" fillId="0" borderId="27" xfId="0" applyFont="1" applyBorder="1" applyAlignment="1">
      <alignment horizontal="center"/>
    </xf>
    <xf numFmtId="0" fontId="457" fillId="0" borderId="0" xfId="0" applyFont="1" applyAlignment="1">
      <alignment horizontal="center"/>
    </xf>
    <xf numFmtId="0" fontId="491" fillId="0" borderId="0" xfId="0" applyFont="1" applyAlignment="1">
      <alignment horizontal="center" vertical="center"/>
    </xf>
    <xf numFmtId="0" fontId="7" fillId="0" borderId="0" xfId="0" applyFont="1" applyAlignment="1">
      <alignment horizontal="center" vertical="center"/>
    </xf>
    <xf numFmtId="4" fontId="522" fillId="0" borderId="164" xfId="0" applyNumberFormat="1" applyFont="1" applyBorder="1" applyAlignment="1"/>
    <xf numFmtId="4" fontId="523" fillId="0" borderId="11" xfId="0" applyNumberFormat="1" applyFont="1" applyBorder="1" applyAlignment="1"/>
    <xf numFmtId="4" fontId="522" fillId="0" borderId="11" xfId="0" applyNumberFormat="1" applyFont="1" applyBorder="1" applyAlignment="1"/>
    <xf numFmtId="4" fontId="522" fillId="0" borderId="11" xfId="0" applyNumberFormat="1" applyFont="1" applyFill="1" applyBorder="1" applyAlignment="1"/>
    <xf numFmtId="4" fontId="522" fillId="17" borderId="11" xfId="0" applyNumberFormat="1" applyFont="1" applyFill="1" applyBorder="1" applyAlignment="1"/>
    <xf numFmtId="4" fontId="524" fillId="17" borderId="11" xfId="0" applyNumberFormat="1" applyFont="1" applyFill="1" applyBorder="1" applyAlignment="1"/>
    <xf numFmtId="4" fontId="523" fillId="0" borderId="11" xfId="0" applyNumberFormat="1" applyFont="1" applyFill="1" applyBorder="1" applyAlignment="1"/>
    <xf numFmtId="4" fontId="523" fillId="0" borderId="19" xfId="0" applyNumberFormat="1" applyFont="1" applyBorder="1" applyAlignment="1"/>
    <xf numFmtId="0" fontId="0" fillId="0" borderId="0" xfId="0" applyAlignment="1">
      <alignment horizontal="center"/>
    </xf>
    <xf numFmtId="0" fontId="7" fillId="0" borderId="0" xfId="0" applyFont="1" applyAlignment="1">
      <alignment horizontal="center"/>
    </xf>
    <xf numFmtId="0" fontId="493" fillId="0" borderId="27" xfId="0" applyFont="1" applyBorder="1" applyAlignment="1">
      <alignment horizontal="center"/>
    </xf>
    <xf numFmtId="0" fontId="493" fillId="0" borderId="0" xfId="0" applyFont="1" applyBorder="1" applyAlignment="1">
      <alignment horizontal="center"/>
    </xf>
    <xf numFmtId="4" fontId="525" fillId="0" borderId="11" xfId="0" applyNumberFormat="1" applyFont="1" applyBorder="1" applyAlignment="1"/>
    <xf numFmtId="4" fontId="525" fillId="0" borderId="11" xfId="0" applyNumberFormat="1" applyFont="1" applyFill="1" applyBorder="1" applyAlignment="1"/>
    <xf numFmtId="4" fontId="525" fillId="0" borderId="164" xfId="0" applyNumberFormat="1" applyFont="1" applyBorder="1" applyAlignment="1"/>
    <xf numFmtId="4" fontId="525" fillId="17" borderId="11" xfId="0" applyNumberFormat="1" applyFont="1" applyFill="1" applyBorder="1" applyAlignment="1"/>
    <xf numFmtId="4" fontId="525" fillId="0" borderId="19" xfId="0" applyNumberFormat="1" applyFont="1" applyBorder="1" applyAlignment="1"/>
    <xf numFmtId="43" fontId="2" fillId="0" borderId="0" xfId="0" applyNumberFormat="1" applyFont="1" applyFill="1" applyBorder="1" applyAlignment="1">
      <alignment horizontal="center"/>
    </xf>
    <xf numFmtId="0" fontId="7" fillId="0" borderId="0" xfId="0" applyFont="1" applyAlignment="1">
      <alignment horizontal="center"/>
    </xf>
    <xf numFmtId="0" fontId="0" fillId="0" borderId="0" xfId="0" applyAlignment="1">
      <alignment horizontal="center"/>
    </xf>
    <xf numFmtId="0" fontId="493" fillId="0" borderId="27" xfId="0" applyFont="1" applyBorder="1" applyAlignment="1">
      <alignment horizontal="center"/>
    </xf>
    <xf numFmtId="0" fontId="493" fillId="0" borderId="0" xfId="0" applyFont="1" applyBorder="1" applyAlignment="1">
      <alignment horizontal="center"/>
    </xf>
    <xf numFmtId="0" fontId="23" fillId="21" borderId="163" xfId="0" applyFont="1" applyFill="1" applyBorder="1" applyAlignment="1"/>
    <xf numFmtId="0" fontId="526" fillId="21" borderId="163" xfId="0" applyFont="1" applyFill="1" applyBorder="1" applyAlignment="1">
      <alignment horizontal="center" vertical="center"/>
    </xf>
    <xf numFmtId="4" fontId="7" fillId="0" borderId="0" xfId="0" applyNumberFormat="1" applyFont="1"/>
    <xf numFmtId="9" fontId="0" fillId="0" borderId="0" xfId="9" applyFont="1"/>
    <xf numFmtId="0" fontId="7" fillId="0" borderId="0" xfId="0" applyFont="1" applyAlignment="1">
      <alignment horizontal="center"/>
    </xf>
    <xf numFmtId="0" fontId="0" fillId="0" borderId="0" xfId="0" applyAlignment="1">
      <alignment horizontal="center"/>
    </xf>
    <xf numFmtId="0" fontId="493" fillId="0" borderId="27" xfId="0" applyFont="1" applyBorder="1" applyAlignment="1">
      <alignment horizontal="center"/>
    </xf>
    <xf numFmtId="0" fontId="493" fillId="0" borderId="0" xfId="0" applyFont="1" applyBorder="1" applyAlignment="1">
      <alignment horizontal="center"/>
    </xf>
    <xf numFmtId="44" fontId="499" fillId="23" borderId="0" xfId="0" applyNumberFormat="1" applyFont="1" applyFill="1"/>
    <xf numFmtId="0" fontId="0" fillId="23" borderId="0" xfId="0" applyFill="1"/>
    <xf numFmtId="2" fontId="494" fillId="23" borderId="38" xfId="0" applyNumberFormat="1" applyFont="1" applyFill="1" applyBorder="1" applyAlignment="1"/>
    <xf numFmtId="0" fontId="103" fillId="23" borderId="0" xfId="0" applyFont="1" applyFill="1" applyAlignment="1"/>
    <xf numFmtId="4" fontId="523" fillId="0" borderId="164" xfId="0" applyNumberFormat="1" applyFont="1" applyBorder="1" applyAlignment="1"/>
    <xf numFmtId="4" fontId="7" fillId="0" borderId="22" xfId="0" applyNumberFormat="1" applyFont="1" applyBorder="1"/>
    <xf numFmtId="2" fontId="457" fillId="19" borderId="163" xfId="0" applyNumberFormat="1" applyFont="1" applyFill="1" applyBorder="1" applyAlignment="1">
      <alignment horizontal="center" vertical="center"/>
    </xf>
    <xf numFmtId="44" fontId="499" fillId="0" borderId="167" xfId="0" applyNumberFormat="1" applyFont="1" applyBorder="1"/>
    <xf numFmtId="0" fontId="0" fillId="0" borderId="170" xfId="0" applyBorder="1"/>
    <xf numFmtId="0" fontId="0" fillId="0" borderId="168" xfId="0" applyBorder="1"/>
    <xf numFmtId="44" fontId="499" fillId="0" borderId="27" xfId="0" applyNumberFormat="1" applyFont="1" applyBorder="1"/>
    <xf numFmtId="44" fontId="457" fillId="0" borderId="27" xfId="0" applyNumberFormat="1" applyFont="1" applyBorder="1"/>
    <xf numFmtId="44" fontId="499" fillId="0" borderId="28" xfId="0" applyNumberFormat="1" applyFont="1" applyBorder="1"/>
    <xf numFmtId="44" fontId="7" fillId="17" borderId="29" xfId="0" applyNumberFormat="1" applyFont="1" applyFill="1" applyBorder="1"/>
    <xf numFmtId="41" fontId="0" fillId="0" borderId="171" xfId="0" applyNumberFormat="1" applyFill="1" applyBorder="1"/>
    <xf numFmtId="14" fontId="461" fillId="0" borderId="31" xfId="0" applyNumberFormat="1" applyFont="1" applyFill="1" applyBorder="1" applyAlignment="1">
      <alignment horizontal="center" vertical="center" shrinkToFit="1"/>
    </xf>
    <xf numFmtId="14" fontId="521" fillId="0" borderId="17" xfId="0" applyNumberFormat="1" applyFont="1" applyFill="1" applyBorder="1" applyAlignment="1">
      <alignment horizontal="center"/>
    </xf>
    <xf numFmtId="41" fontId="0" fillId="0" borderId="21" xfId="0" applyNumberFormat="1" applyFill="1" applyBorder="1"/>
    <xf numFmtId="41" fontId="0" fillId="0" borderId="23" xfId="0" applyNumberFormat="1" applyFill="1" applyBorder="1"/>
    <xf numFmtId="0" fontId="0" fillId="0" borderId="0" xfId="0" applyAlignment="1">
      <alignment horizontal="center"/>
    </xf>
    <xf numFmtId="0" fontId="7" fillId="0" borderId="0" xfId="0" applyFont="1" applyAlignment="1">
      <alignment horizontal="center"/>
    </xf>
    <xf numFmtId="0" fontId="493" fillId="0" borderId="0" xfId="0" applyFont="1" applyBorder="1" applyAlignment="1">
      <alignment horizontal="center"/>
    </xf>
    <xf numFmtId="0" fontId="493" fillId="0" borderId="27" xfId="0" applyFont="1" applyBorder="1" applyAlignment="1">
      <alignment horizontal="center"/>
    </xf>
    <xf numFmtId="0" fontId="7" fillId="0" borderId="0" xfId="0" applyFont="1" applyAlignment="1">
      <alignment horizontal="center"/>
    </xf>
    <xf numFmtId="0" fontId="0" fillId="0" borderId="0" xfId="0" applyAlignment="1">
      <alignment horizontal="center"/>
    </xf>
    <xf numFmtId="0" fontId="493" fillId="0" borderId="27" xfId="0" applyFont="1" applyBorder="1" applyAlignment="1">
      <alignment horizontal="center"/>
    </xf>
    <xf numFmtId="0" fontId="493" fillId="0" borderId="0" xfId="0" applyFont="1" applyBorder="1" applyAlignment="1">
      <alignment horizontal="center"/>
    </xf>
    <xf numFmtId="0" fontId="496" fillId="0" borderId="27" xfId="0" applyFont="1" applyFill="1" applyBorder="1" applyAlignment="1">
      <alignment horizontal="center"/>
    </xf>
    <xf numFmtId="0" fontId="496" fillId="0" borderId="38" xfId="0" applyFont="1" applyFill="1" applyBorder="1"/>
    <xf numFmtId="3" fontId="496" fillId="0" borderId="27" xfId="0" applyNumberFormat="1" applyFont="1" applyFill="1" applyBorder="1" applyAlignment="1">
      <alignment horizontal="center"/>
    </xf>
    <xf numFmtId="2" fontId="496" fillId="0" borderId="38" xfId="0" applyNumberFormat="1" applyFont="1" applyFill="1" applyBorder="1" applyAlignment="1"/>
    <xf numFmtId="3" fontId="496" fillId="0" borderId="0" xfId="0" applyNumberFormat="1" applyFont="1" applyFill="1" applyBorder="1" applyAlignment="1">
      <alignment horizontal="center"/>
    </xf>
    <xf numFmtId="0" fontId="496" fillId="0" borderId="0" xfId="0" applyFont="1" applyFill="1" applyBorder="1" applyAlignment="1">
      <alignment horizontal="center"/>
    </xf>
    <xf numFmtId="0" fontId="527" fillId="0" borderId="0" xfId="0" applyFont="1" applyAlignment="1">
      <alignment vertical="center"/>
    </xf>
    <xf numFmtId="4" fontId="2" fillId="0" borderId="0" xfId="0" applyNumberFormat="1" applyFont="1" applyAlignment="1">
      <alignment horizontal="center"/>
    </xf>
    <xf numFmtId="0" fontId="493" fillId="0" borderId="170" xfId="0" applyFont="1" applyBorder="1" applyAlignment="1"/>
    <xf numFmtId="0" fontId="493" fillId="0" borderId="0" xfId="0" applyFont="1" applyBorder="1" applyAlignment="1"/>
    <xf numFmtId="0" fontId="528" fillId="0" borderId="0" xfId="0" applyFont="1" applyBorder="1" applyAlignment="1"/>
    <xf numFmtId="0" fontId="529" fillId="0" borderId="0" xfId="0" applyFont="1" applyBorder="1" applyAlignment="1"/>
    <xf numFmtId="1" fontId="493" fillId="0" borderId="0" xfId="0" applyNumberFormat="1" applyFont="1" applyBorder="1" applyAlignment="1"/>
    <xf numFmtId="44" fontId="7" fillId="17" borderId="30" xfId="0" applyNumberFormat="1" applyFont="1" applyFill="1" applyBorder="1"/>
    <xf numFmtId="0" fontId="491" fillId="17" borderId="22" xfId="0" applyFont="1" applyFill="1" applyBorder="1" applyAlignment="1">
      <alignment vertical="center"/>
    </xf>
    <xf numFmtId="0" fontId="23" fillId="0" borderId="0" xfId="0" applyFont="1" applyAlignment="1">
      <alignment vertical="center"/>
    </xf>
    <xf numFmtId="44" fontId="7" fillId="17" borderId="163" xfId="0" applyNumberFormat="1" applyFont="1" applyFill="1" applyBorder="1"/>
    <xf numFmtId="44" fontId="462" fillId="0" borderId="0" xfId="0" applyNumberFormat="1" applyFont="1" applyAlignment="1">
      <alignment horizontal="center"/>
    </xf>
    <xf numFmtId="0" fontId="0" fillId="0" borderId="164" xfId="0" applyBorder="1"/>
    <xf numFmtId="0" fontId="13" fillId="0" borderId="0" xfId="0" applyFont="1" applyAlignment="1">
      <alignment horizontal="center"/>
    </xf>
    <xf numFmtId="0" fontId="0" fillId="0" borderId="0" xfId="0" applyAlignment="1">
      <alignment horizontal="center"/>
    </xf>
    <xf numFmtId="0" fontId="7" fillId="0" borderId="0" xfId="0" applyFont="1" applyAlignment="1">
      <alignment horizontal="center"/>
    </xf>
    <xf numFmtId="14" fontId="461" fillId="17" borderId="20" xfId="0" applyNumberFormat="1" applyFont="1" applyFill="1" applyBorder="1" applyAlignment="1">
      <alignment horizontal="center" vertical="center" shrinkToFit="1"/>
    </xf>
    <xf numFmtId="14" fontId="521" fillId="17" borderId="20" xfId="0" applyNumberFormat="1" applyFont="1" applyFill="1" applyBorder="1" applyAlignment="1">
      <alignment horizontal="center"/>
    </xf>
    <xf numFmtId="41" fontId="0" fillId="17" borderId="9" xfId="0" applyNumberFormat="1" applyFill="1" applyBorder="1"/>
    <xf numFmtId="41" fontId="0" fillId="17" borderId="6" xfId="0" applyNumberFormat="1" applyFill="1" applyBorder="1"/>
    <xf numFmtId="169" fontId="531" fillId="22" borderId="107" xfId="0" applyNumberFormat="1" applyFont="1" applyFill="1" applyBorder="1" applyAlignment="1">
      <alignment horizontal="center" vertical="center" wrapText="1" shrinkToFit="1"/>
    </xf>
    <xf numFmtId="0" fontId="2" fillId="17" borderId="73" xfId="0" applyFont="1" applyFill="1" applyBorder="1" applyAlignment="1">
      <alignment horizontal="center" vertical="center"/>
    </xf>
    <xf numFmtId="0" fontId="0" fillId="0" borderId="0" xfId="0" applyAlignment="1">
      <alignment horizontal="center"/>
    </xf>
    <xf numFmtId="0" fontId="7" fillId="0" borderId="41" xfId="0" applyFont="1" applyFill="1" applyBorder="1" applyAlignment="1">
      <alignment horizontal="center"/>
    </xf>
    <xf numFmtId="169" fontId="279" fillId="0" borderId="41" xfId="0" applyNumberFormat="1" applyFont="1" applyFill="1" applyBorder="1" applyAlignment="1">
      <alignment horizontal="center" vertical="center" wrapText="1" shrinkToFit="1"/>
    </xf>
    <xf numFmtId="0" fontId="180" fillId="0" borderId="0" xfId="0" applyFont="1" applyFill="1" applyBorder="1" applyAlignment="1">
      <alignment horizontal="center" vertical="center"/>
    </xf>
    <xf numFmtId="0" fontId="4" fillId="0" borderId="72" xfId="0" applyFont="1" applyFill="1" applyBorder="1" applyAlignment="1">
      <alignment horizontal="center" vertical="center"/>
    </xf>
    <xf numFmtId="0" fontId="23" fillId="0" borderId="0" xfId="0" applyFont="1" applyFill="1" applyBorder="1" applyAlignment="1"/>
    <xf numFmtId="204" fontId="18" fillId="0" borderId="163" xfId="0" applyNumberFormat="1" applyFont="1" applyFill="1" applyBorder="1" applyAlignment="1">
      <alignment horizontal="center"/>
    </xf>
    <xf numFmtId="0" fontId="180" fillId="0" borderId="7" xfId="0" applyFont="1" applyFill="1" applyBorder="1" applyAlignment="1">
      <alignment horizontal="center" vertical="center"/>
    </xf>
    <xf numFmtId="0" fontId="180" fillId="0" borderId="9" xfId="0" applyFont="1" applyFill="1" applyBorder="1" applyAlignment="1">
      <alignment horizontal="center" vertical="center"/>
    </xf>
    <xf numFmtId="0" fontId="180" fillId="0" borderId="6" xfId="0" applyFont="1" applyFill="1" applyBorder="1" applyAlignment="1">
      <alignment horizontal="center" vertical="center"/>
    </xf>
    <xf numFmtId="0" fontId="4" fillId="0" borderId="74" xfId="0" applyFont="1" applyFill="1" applyBorder="1" applyAlignment="1">
      <alignment horizontal="center"/>
    </xf>
    <xf numFmtId="0" fontId="4" fillId="0" borderId="22" xfId="0" applyFont="1" applyFill="1" applyBorder="1" applyAlignment="1">
      <alignment horizontal="center"/>
    </xf>
    <xf numFmtId="0" fontId="2" fillId="0" borderId="22" xfId="0" applyFont="1" applyFill="1" applyBorder="1" applyAlignment="1">
      <alignment horizontal="center"/>
    </xf>
    <xf numFmtId="0" fontId="430" fillId="0" borderId="22" xfId="0" applyFont="1" applyFill="1" applyBorder="1" applyAlignment="1">
      <alignment horizontal="center"/>
    </xf>
    <xf numFmtId="0" fontId="430" fillId="0" borderId="24" xfId="0" applyFont="1" applyFill="1" applyBorder="1" applyAlignment="1">
      <alignment horizontal="center"/>
    </xf>
    <xf numFmtId="0" fontId="7" fillId="0" borderId="39" xfId="0" applyFont="1" applyFill="1" applyBorder="1" applyAlignment="1">
      <alignment horizontal="center"/>
    </xf>
    <xf numFmtId="0" fontId="360" fillId="0" borderId="31" xfId="0" applyFont="1" applyFill="1" applyBorder="1" applyAlignment="1">
      <alignment horizontal="center"/>
    </xf>
    <xf numFmtId="0" fontId="360" fillId="0" borderId="21" xfId="0" applyFont="1" applyFill="1" applyBorder="1" applyAlignment="1">
      <alignment horizontal="center"/>
    </xf>
    <xf numFmtId="0" fontId="360" fillId="0" borderId="23" xfId="0" applyFont="1" applyFill="1" applyBorder="1" applyAlignment="1">
      <alignment horizontal="center"/>
    </xf>
    <xf numFmtId="0" fontId="7" fillId="0" borderId="0" xfId="0" applyFont="1" applyAlignment="1"/>
    <xf numFmtId="0" fontId="179" fillId="0" borderId="72" xfId="0" applyFont="1" applyFill="1" applyBorder="1" applyAlignment="1">
      <alignment horizontal="center" vertical="center"/>
    </xf>
    <xf numFmtId="14" fontId="521" fillId="17" borderId="17" xfId="0" applyNumberFormat="1" applyFont="1" applyFill="1" applyBorder="1" applyAlignment="1">
      <alignment horizontal="center"/>
    </xf>
    <xf numFmtId="41" fontId="0" fillId="17" borderId="21" xfId="0" applyNumberFormat="1" applyFill="1" applyBorder="1"/>
    <xf numFmtId="41" fontId="0" fillId="17" borderId="23" xfId="0" applyNumberFormat="1" applyFill="1" applyBorder="1"/>
    <xf numFmtId="0" fontId="2" fillId="17" borderId="0" xfId="0" applyFont="1" applyFill="1"/>
    <xf numFmtId="0" fontId="0" fillId="0" borderId="0" xfId="0" applyAlignment="1">
      <alignment horizontal="center"/>
    </xf>
    <xf numFmtId="1" fontId="10" fillId="0" borderId="168" xfId="0" applyNumberFormat="1" applyFont="1" applyFill="1" applyBorder="1" applyAlignment="1">
      <alignment horizontal="center" vertical="center"/>
    </xf>
    <xf numFmtId="49" fontId="253" fillId="0" borderId="164" xfId="0" applyNumberFormat="1" applyFont="1" applyBorder="1" applyAlignment="1">
      <alignment horizontal="center" vertical="center"/>
    </xf>
    <xf numFmtId="0" fontId="253" fillId="0" borderId="164" xfId="0" applyFont="1" applyBorder="1" applyAlignment="1">
      <alignment vertical="center"/>
    </xf>
    <xf numFmtId="183" fontId="93" fillId="0" borderId="164" xfId="0" applyNumberFormat="1" applyFont="1" applyBorder="1" applyAlignment="1">
      <alignment horizontal="center" vertical="center"/>
    </xf>
    <xf numFmtId="167" fontId="126" fillId="0" borderId="163" xfId="0" applyNumberFormat="1" applyFont="1" applyBorder="1" applyAlignment="1">
      <alignment horizontal="center" vertical="center"/>
    </xf>
    <xf numFmtId="3" fontId="25" fillId="0" borderId="164" xfId="5" applyNumberFormat="1" applyFont="1" applyBorder="1" applyAlignment="1">
      <alignment horizontal="center" vertical="center"/>
    </xf>
    <xf numFmtId="190" fontId="253" fillId="0" borderId="164" xfId="0" applyNumberFormat="1" applyFont="1" applyBorder="1" applyAlignment="1">
      <alignment horizontal="center" vertical="center"/>
    </xf>
    <xf numFmtId="0" fontId="535" fillId="0" borderId="0" xfId="0" applyFont="1" applyFill="1" applyBorder="1" applyAlignment="1">
      <alignment horizontal="center" vertical="center"/>
    </xf>
    <xf numFmtId="0" fontId="536" fillId="0" borderId="0" xfId="0" applyFont="1" applyFill="1" applyBorder="1" applyAlignment="1">
      <alignment horizontal="left" vertical="center"/>
    </xf>
    <xf numFmtId="0" fontId="535" fillId="0" borderId="0" xfId="0" applyFont="1" applyBorder="1" applyAlignment="1">
      <alignment horizontal="center" vertical="center"/>
    </xf>
    <xf numFmtId="0" fontId="536" fillId="0" borderId="0" xfId="0" applyFont="1" applyBorder="1" applyAlignment="1">
      <alignment horizontal="left" vertical="center"/>
    </xf>
    <xf numFmtId="0" fontId="537" fillId="16" borderId="0" xfId="0" applyFont="1" applyFill="1" applyBorder="1" applyAlignment="1">
      <alignment horizontal="center" vertical="center"/>
    </xf>
    <xf numFmtId="203" fontId="443" fillId="0" borderId="108" xfId="5" applyNumberFormat="1" applyFont="1" applyFill="1" applyBorder="1" applyAlignment="1">
      <alignment horizontal="center" vertical="center"/>
    </xf>
    <xf numFmtId="0" fontId="444" fillId="0" borderId="73" xfId="0" applyFont="1" applyFill="1" applyBorder="1" applyAlignment="1">
      <alignment horizontal="center" vertical="center"/>
    </xf>
    <xf numFmtId="0" fontId="446" fillId="0" borderId="73" xfId="0" applyFont="1" applyFill="1" applyBorder="1" applyAlignment="1">
      <alignment horizontal="center" vertical="center"/>
    </xf>
    <xf numFmtId="0" fontId="444" fillId="0" borderId="0" xfId="0" applyFont="1" applyBorder="1" applyAlignment="1">
      <alignment horizontal="center" vertical="center"/>
    </xf>
    <xf numFmtId="208" fontId="538" fillId="0" borderId="73" xfId="0" applyNumberFormat="1" applyFont="1" applyBorder="1" applyAlignment="1">
      <alignment horizontal="center" vertical="center"/>
    </xf>
    <xf numFmtId="0" fontId="0" fillId="0" borderId="0" xfId="0" applyAlignment="1">
      <alignment horizontal="center"/>
    </xf>
    <xf numFmtId="0" fontId="10" fillId="0" borderId="163" xfId="0" applyFont="1" applyFill="1" applyBorder="1" applyAlignment="1">
      <alignment horizontal="center" vertical="center" wrapText="1"/>
    </xf>
    <xf numFmtId="0" fontId="5" fillId="0" borderId="163" xfId="0" applyFont="1" applyFill="1" applyBorder="1" applyAlignment="1">
      <alignment vertical="center" wrapText="1"/>
    </xf>
    <xf numFmtId="0" fontId="5" fillId="0" borderId="163" xfId="0" applyFont="1" applyFill="1" applyBorder="1" applyAlignment="1">
      <alignment horizontal="center" vertical="center" wrapText="1"/>
    </xf>
    <xf numFmtId="0" fontId="5" fillId="0" borderId="163" xfId="0" applyFont="1" applyFill="1" applyBorder="1" applyAlignment="1">
      <alignment horizontal="right" vertical="center" wrapText="1"/>
    </xf>
    <xf numFmtId="0" fontId="2" fillId="6" borderId="65" xfId="0" applyFont="1" applyFill="1" applyBorder="1" applyAlignment="1">
      <alignment horizontal="center" vertical="center"/>
    </xf>
    <xf numFmtId="0" fontId="46" fillId="0" borderId="163" xfId="0" applyFont="1" applyBorder="1" applyAlignment="1">
      <alignment horizontal="left" wrapText="1"/>
    </xf>
    <xf numFmtId="0" fontId="398" fillId="0" borderId="163" xfId="0" applyFont="1" applyBorder="1" applyAlignment="1">
      <alignment horizontal="center" wrapText="1"/>
    </xf>
    <xf numFmtId="0" fontId="0" fillId="2" borderId="0" xfId="0" applyFill="1" applyAlignment="1">
      <alignment horizontal="center"/>
    </xf>
    <xf numFmtId="0" fontId="0" fillId="0" borderId="0" xfId="0" applyAlignment="1">
      <alignment shrinkToFit="1"/>
    </xf>
    <xf numFmtId="0" fontId="0" fillId="0" borderId="0" xfId="0" applyAlignment="1">
      <alignment horizontal="center" shrinkToFit="1"/>
    </xf>
    <xf numFmtId="0" fontId="109" fillId="0" borderId="0" xfId="0" applyFont="1" applyAlignment="1">
      <alignment vertical="center" shrinkToFit="1"/>
    </xf>
    <xf numFmtId="0" fontId="457" fillId="19" borderId="0" xfId="0" applyFont="1" applyFill="1"/>
    <xf numFmtId="0" fontId="543" fillId="0" borderId="0" xfId="0" applyFont="1" applyAlignment="1"/>
    <xf numFmtId="0" fontId="46" fillId="0" borderId="164" xfId="0" applyFont="1" applyBorder="1" applyAlignment="1">
      <alignment horizontal="left" wrapText="1"/>
    </xf>
    <xf numFmtId="0" fontId="10" fillId="0" borderId="164" xfId="0" applyFont="1" applyFill="1" applyBorder="1" applyAlignment="1">
      <alignment horizontal="center" vertical="center" wrapText="1"/>
    </xf>
    <xf numFmtId="0" fontId="398" fillId="0" borderId="19" xfId="0" applyFont="1" applyBorder="1" applyAlignment="1">
      <alignment horizontal="center" wrapText="1"/>
    </xf>
    <xf numFmtId="0" fontId="5" fillId="0" borderId="19" xfId="0" applyFont="1" applyFill="1" applyBorder="1" applyAlignment="1">
      <alignment vertical="center" wrapText="1"/>
    </xf>
    <xf numFmtId="0" fontId="5" fillId="0" borderId="19" xfId="0" applyFont="1" applyFill="1" applyBorder="1" applyAlignment="1">
      <alignment horizontal="center" vertical="center" wrapText="1"/>
    </xf>
    <xf numFmtId="0" fontId="5" fillId="0" borderId="19" xfId="0" applyFont="1" applyFill="1" applyBorder="1" applyAlignment="1">
      <alignment horizontal="right" vertical="center" wrapText="1"/>
    </xf>
    <xf numFmtId="0" fontId="544" fillId="0" borderId="163" xfId="0" applyFont="1" applyFill="1" applyBorder="1" applyAlignment="1">
      <alignment vertical="center" wrapText="1"/>
    </xf>
    <xf numFmtId="0" fontId="544" fillId="0" borderId="163" xfId="0" applyFont="1" applyFill="1" applyBorder="1" applyAlignment="1">
      <alignment horizontal="center" vertical="center" wrapText="1"/>
    </xf>
    <xf numFmtId="0" fontId="544" fillId="0" borderId="163" xfId="0" applyFont="1" applyFill="1" applyBorder="1" applyAlignment="1">
      <alignment horizontal="right" vertical="center" wrapText="1"/>
    </xf>
    <xf numFmtId="0" fontId="545" fillId="0" borderId="163" xfId="0" applyFont="1" applyBorder="1" applyAlignment="1">
      <alignment horizontal="center" wrapText="1"/>
    </xf>
    <xf numFmtId="0" fontId="545" fillId="0" borderId="163" xfId="0" applyFont="1" applyFill="1" applyBorder="1" applyAlignment="1">
      <alignment vertical="center" wrapText="1"/>
    </xf>
    <xf numFmtId="0" fontId="545" fillId="0" borderId="163" xfId="0" applyFont="1" applyFill="1" applyBorder="1" applyAlignment="1">
      <alignment horizontal="center" vertical="center" wrapText="1"/>
    </xf>
    <xf numFmtId="0" fontId="545" fillId="0" borderId="163" xfId="0" applyFont="1" applyFill="1" applyBorder="1" applyAlignment="1">
      <alignment horizontal="right" vertical="center" wrapText="1"/>
    </xf>
    <xf numFmtId="0" fontId="546" fillId="0" borderId="163" xfId="0" applyFont="1" applyFill="1" applyBorder="1" applyAlignment="1">
      <alignment horizontal="center" vertical="center" wrapText="1"/>
    </xf>
    <xf numFmtId="14" fontId="22" fillId="0" borderId="0" xfId="0" applyNumberFormat="1" applyFont="1" applyAlignment="1">
      <alignment horizontal="center"/>
    </xf>
    <xf numFmtId="0" fontId="279" fillId="0" borderId="29" xfId="0" applyFont="1" applyBorder="1" applyAlignment="1">
      <alignment horizontal="left" vertical="center"/>
    </xf>
    <xf numFmtId="0" fontId="2" fillId="0" borderId="0" xfId="0" applyFont="1" applyBorder="1"/>
    <xf numFmtId="209" fontId="13" fillId="0" borderId="0" xfId="0" applyNumberFormat="1" applyFont="1" applyBorder="1" applyAlignment="1">
      <alignment horizontal="center" vertical="center"/>
    </xf>
    <xf numFmtId="0" fontId="541" fillId="0" borderId="0" xfId="0" applyFont="1"/>
    <xf numFmtId="4" fontId="10" fillId="0" borderId="0" xfId="0" applyNumberFormat="1" applyFont="1" applyAlignment="1">
      <alignment horizontal="center"/>
    </xf>
    <xf numFmtId="0" fontId="499" fillId="0" borderId="0" xfId="0" applyFont="1" applyAlignment="1">
      <alignment horizontal="left" indent="1"/>
    </xf>
    <xf numFmtId="0" fontId="548" fillId="0" borderId="0" xfId="0" applyFont="1"/>
    <xf numFmtId="0" fontId="15" fillId="0" borderId="62" xfId="4" applyBorder="1" applyAlignment="1" applyProtection="1">
      <alignment horizontal="left"/>
    </xf>
    <xf numFmtId="49" fontId="2" fillId="0" borderId="30" xfId="0" applyNumberFormat="1" applyFont="1" applyBorder="1"/>
    <xf numFmtId="49" fontId="517" fillId="0" borderId="163" xfId="0" applyNumberFormat="1" applyFont="1" applyBorder="1" applyAlignment="1">
      <alignment horizontal="center"/>
    </xf>
    <xf numFmtId="49" fontId="2" fillId="0" borderId="0" xfId="0" applyNumberFormat="1" applyFont="1"/>
    <xf numFmtId="49" fontId="15" fillId="0" borderId="0" xfId="4" applyNumberFormat="1" applyAlignment="1" applyProtection="1"/>
    <xf numFmtId="217" fontId="466" fillId="0" borderId="0" xfId="0" applyNumberFormat="1" applyFont="1"/>
    <xf numFmtId="49" fontId="456" fillId="0" borderId="0" xfId="0" applyNumberFormat="1" applyFont="1" applyAlignment="1">
      <alignment horizontal="center"/>
    </xf>
    <xf numFmtId="216" fontId="0" fillId="0" borderId="0" xfId="0" applyNumberFormat="1" applyAlignment="1">
      <alignment horizontal="center"/>
    </xf>
    <xf numFmtId="216" fontId="2" fillId="0" borderId="0" xfId="0" applyNumberFormat="1" applyFont="1" applyAlignment="1"/>
    <xf numFmtId="0" fontId="0" fillId="0" borderId="0" xfId="0" applyAlignment="1">
      <alignment horizontal="center"/>
    </xf>
    <xf numFmtId="2" fontId="370" fillId="0" borderId="0" xfId="0" applyNumberFormat="1" applyFont="1" applyAlignment="1">
      <alignment horizontal="center"/>
    </xf>
    <xf numFmtId="181" fontId="7" fillId="0" borderId="0" xfId="0" applyNumberFormat="1" applyFont="1"/>
    <xf numFmtId="0" fontId="2" fillId="0" borderId="0" xfId="0" applyFont="1" applyFill="1" applyBorder="1" applyAlignment="1">
      <alignment vertical="center"/>
    </xf>
    <xf numFmtId="43" fontId="26" fillId="0" borderId="0" xfId="0" applyNumberFormat="1" applyFont="1" applyAlignment="1">
      <alignment horizontal="left"/>
    </xf>
    <xf numFmtId="0" fontId="0" fillId="0" borderId="0" xfId="0" applyAlignment="1">
      <alignment horizontal="center"/>
    </xf>
    <xf numFmtId="204" fontId="550" fillId="16" borderId="108" xfId="5" applyNumberFormat="1" applyFont="1" applyFill="1" applyBorder="1" applyAlignment="1">
      <alignment horizontal="center" vertical="center"/>
    </xf>
    <xf numFmtId="0" fontId="279" fillId="0" borderId="0" xfId="0" applyFont="1" applyFill="1" applyBorder="1" applyAlignment="1">
      <alignment horizontal="left" vertical="center"/>
    </xf>
    <xf numFmtId="204" fontId="18" fillId="0" borderId="0" xfId="5" applyNumberFormat="1" applyFont="1" applyFill="1" applyBorder="1" applyAlignment="1">
      <alignment horizontal="center" vertical="center"/>
    </xf>
    <xf numFmtId="0" fontId="262" fillId="0" borderId="0" xfId="0" applyFont="1" applyFill="1" applyBorder="1" applyAlignment="1">
      <alignment horizontal="center" vertical="center"/>
    </xf>
    <xf numFmtId="0" fontId="2" fillId="0" borderId="0" xfId="0" applyFont="1" applyFill="1" applyBorder="1" applyAlignment="1">
      <alignment horizontal="center"/>
    </xf>
    <xf numFmtId="0" fontId="2" fillId="0" borderId="0" xfId="0" applyFont="1" applyFill="1" applyBorder="1"/>
    <xf numFmtId="14" fontId="0" fillId="0" borderId="0" xfId="9" applyNumberFormat="1" applyFont="1" applyFill="1" applyBorder="1" applyAlignment="1">
      <alignment horizontal="center"/>
    </xf>
    <xf numFmtId="0" fontId="5" fillId="0" borderId="0" xfId="0" applyNumberFormat="1" applyFont="1" applyAlignment="1">
      <alignment vertical="center"/>
    </xf>
    <xf numFmtId="0" fontId="5" fillId="0" borderId="172" xfId="0" applyNumberFormat="1" applyFont="1" applyFill="1" applyBorder="1" applyAlignment="1">
      <alignment vertical="center"/>
    </xf>
    <xf numFmtId="0" fontId="2" fillId="0" borderId="0" xfId="0" applyFont="1" applyFill="1"/>
    <xf numFmtId="204" fontId="551" fillId="16" borderId="108" xfId="5" applyNumberFormat="1" applyFont="1" applyFill="1" applyBorder="1" applyAlignment="1">
      <alignment horizontal="center" vertical="center"/>
    </xf>
    <xf numFmtId="4" fontId="465" fillId="19" borderId="167" xfId="0" applyNumberFormat="1" applyFont="1" applyFill="1" applyBorder="1"/>
    <xf numFmtId="0" fontId="2" fillId="19" borderId="168" xfId="0" applyFont="1" applyFill="1" applyBorder="1"/>
    <xf numFmtId="4" fontId="465" fillId="19" borderId="28" xfId="0" applyNumberFormat="1" applyFont="1" applyFill="1" applyBorder="1"/>
    <xf numFmtId="0" fontId="2" fillId="19" borderId="18" xfId="0" applyFont="1" applyFill="1" applyBorder="1"/>
    <xf numFmtId="0" fontId="0" fillId="0" borderId="0" xfId="0" applyAlignment="1">
      <alignment horizontal="center"/>
    </xf>
    <xf numFmtId="0" fontId="553" fillId="0" borderId="0" xfId="0" applyFont="1"/>
    <xf numFmtId="0" fontId="554" fillId="0" borderId="0" xfId="10" applyFont="1" applyAlignment="1">
      <alignment horizontal="center"/>
    </xf>
    <xf numFmtId="0" fontId="1" fillId="0" borderId="0" xfId="10" applyAlignment="1">
      <alignment horizontal="center"/>
    </xf>
    <xf numFmtId="0" fontId="6" fillId="0" borderId="0" xfId="10" applyFont="1" applyFill="1" applyBorder="1" applyAlignment="1">
      <alignment vertical="center"/>
    </xf>
    <xf numFmtId="0" fontId="555" fillId="0" borderId="0" xfId="10" applyFont="1" applyFill="1" applyBorder="1" applyAlignment="1">
      <alignment vertical="center"/>
    </xf>
    <xf numFmtId="0" fontId="6" fillId="0" borderId="0" xfId="10" applyFont="1" applyFill="1" applyBorder="1" applyAlignment="1">
      <alignment horizontal="left" vertical="center"/>
    </xf>
    <xf numFmtId="0" fontId="555" fillId="0" borderId="0" xfId="10" applyFont="1" applyFill="1" applyBorder="1" applyAlignment="1">
      <alignment horizontal="left"/>
    </xf>
    <xf numFmtId="0" fontId="1" fillId="0" borderId="0" xfId="10" applyAlignment="1"/>
    <xf numFmtId="0" fontId="1" fillId="0" borderId="0" xfId="10"/>
    <xf numFmtId="0" fontId="5" fillId="0" borderId="0" xfId="10" applyFont="1" applyFill="1" applyBorder="1" applyAlignment="1">
      <alignment vertical="center"/>
    </xf>
    <xf numFmtId="0" fontId="5" fillId="0" borderId="0" xfId="10" applyFont="1" applyFill="1" applyBorder="1" applyAlignment="1">
      <alignment horizontal="left" vertical="center"/>
    </xf>
    <xf numFmtId="0" fontId="2" fillId="0" borderId="0" xfId="10" applyFont="1" applyFill="1" applyBorder="1" applyAlignment="1">
      <alignment vertical="center"/>
    </xf>
    <xf numFmtId="0" fontId="1" fillId="0" borderId="0" xfId="10" applyAlignment="1">
      <alignment horizontal="center" wrapText="1"/>
    </xf>
    <xf numFmtId="0" fontId="1" fillId="0" borderId="0" xfId="10" applyAlignment="1">
      <alignment wrapText="1"/>
    </xf>
    <xf numFmtId="0" fontId="556" fillId="0" borderId="0" xfId="10" applyFont="1" applyAlignment="1"/>
    <xf numFmtId="0" fontId="6" fillId="0" borderId="173" xfId="10" applyFont="1" applyFill="1" applyBorder="1" applyAlignment="1">
      <alignment horizontal="center" vertical="center"/>
    </xf>
    <xf numFmtId="0" fontId="6" fillId="0" borderId="174" xfId="10" applyFont="1" applyFill="1" applyBorder="1" applyAlignment="1">
      <alignment horizontal="center" vertical="center"/>
    </xf>
    <xf numFmtId="0" fontId="6" fillId="0" borderId="175" xfId="10" applyFont="1" applyFill="1" applyBorder="1" applyAlignment="1">
      <alignment horizontal="center" vertical="center"/>
    </xf>
    <xf numFmtId="0" fontId="5" fillId="0" borderId="19" xfId="10" applyFont="1" applyFill="1" applyBorder="1" applyAlignment="1">
      <alignment horizontal="center" vertical="center"/>
    </xf>
    <xf numFmtId="0" fontId="5" fillId="0" borderId="19" xfId="10" applyFont="1" applyFill="1" applyBorder="1" applyAlignment="1">
      <alignment vertical="center"/>
    </xf>
    <xf numFmtId="0" fontId="5" fillId="0" borderId="19" xfId="10" applyFont="1" applyFill="1" applyBorder="1" applyAlignment="1">
      <alignment horizontal="right" vertical="center"/>
    </xf>
    <xf numFmtId="0" fontId="5" fillId="0" borderId="163" xfId="10" applyFont="1" applyFill="1" applyBorder="1" applyAlignment="1">
      <alignment horizontal="center" vertical="center"/>
    </xf>
    <xf numFmtId="0" fontId="5" fillId="0" borderId="163" xfId="10" applyFont="1" applyFill="1" applyBorder="1" applyAlignment="1">
      <alignment vertical="center"/>
    </xf>
    <xf numFmtId="0" fontId="5" fillId="0" borderId="163" xfId="10" applyFont="1" applyFill="1" applyBorder="1" applyAlignment="1">
      <alignment horizontal="right" vertical="center"/>
    </xf>
    <xf numFmtId="0" fontId="533" fillId="19" borderId="19" xfId="10" applyFont="1" applyFill="1" applyBorder="1" applyAlignment="1">
      <alignment horizontal="center" vertical="center"/>
    </xf>
    <xf numFmtId="0" fontId="533" fillId="19" borderId="163" xfId="10" applyFont="1" applyFill="1" applyBorder="1" applyAlignment="1">
      <alignment horizontal="center" vertical="center"/>
    </xf>
    <xf numFmtId="0" fontId="533" fillId="19" borderId="163" xfId="10" applyFont="1" applyFill="1" applyBorder="1" applyAlignment="1">
      <alignment vertical="center"/>
    </xf>
    <xf numFmtId="0" fontId="533" fillId="19" borderId="163" xfId="10" applyFont="1" applyFill="1" applyBorder="1" applyAlignment="1">
      <alignment horizontal="right" vertical="center"/>
    </xf>
    <xf numFmtId="0" fontId="5" fillId="0" borderId="32" xfId="10" applyFont="1" applyFill="1" applyBorder="1" applyAlignment="1">
      <alignment horizontal="center" vertical="center"/>
    </xf>
    <xf numFmtId="0" fontId="5" fillId="0" borderId="32" xfId="10" applyFont="1" applyFill="1" applyBorder="1" applyAlignment="1">
      <alignment vertical="center"/>
    </xf>
    <xf numFmtId="0" fontId="5" fillId="0" borderId="32" xfId="10" applyFont="1" applyFill="1" applyBorder="1" applyAlignment="1">
      <alignment horizontal="right" vertical="center"/>
    </xf>
    <xf numFmtId="0" fontId="533" fillId="0" borderId="163" xfId="10" applyFont="1" applyFill="1" applyBorder="1" applyAlignment="1">
      <alignment horizontal="center" vertical="center"/>
    </xf>
    <xf numFmtId="0" fontId="557" fillId="0" borderId="163" xfId="10" applyFont="1" applyFill="1" applyBorder="1" applyAlignment="1">
      <alignment horizontal="center" vertical="center"/>
    </xf>
    <xf numFmtId="0" fontId="557" fillId="0" borderId="163" xfId="10" applyFont="1" applyFill="1" applyBorder="1" applyAlignment="1">
      <alignment vertical="center"/>
    </xf>
    <xf numFmtId="0" fontId="557" fillId="0" borderId="163" xfId="10" applyFont="1" applyFill="1" applyBorder="1" applyAlignment="1">
      <alignment horizontal="right" vertical="center"/>
    </xf>
    <xf numFmtId="0" fontId="558" fillId="0" borderId="0" xfId="10" applyFont="1" applyAlignment="1">
      <alignment horizontal="center"/>
    </xf>
    <xf numFmtId="0" fontId="559" fillId="19" borderId="163" xfId="10" applyFont="1" applyFill="1" applyBorder="1" applyAlignment="1">
      <alignment horizontal="center" vertical="center"/>
    </xf>
    <xf numFmtId="0" fontId="560" fillId="19" borderId="163" xfId="10" applyFont="1" applyFill="1" applyBorder="1" applyAlignment="1">
      <alignment horizontal="center" vertical="center"/>
    </xf>
    <xf numFmtId="0" fontId="560" fillId="19" borderId="163" xfId="10" applyFont="1" applyFill="1" applyBorder="1" applyAlignment="1">
      <alignment vertical="center"/>
    </xf>
    <xf numFmtId="0" fontId="560" fillId="19" borderId="163" xfId="10" applyFont="1" applyFill="1" applyBorder="1" applyAlignment="1">
      <alignment horizontal="right" vertical="center"/>
    </xf>
    <xf numFmtId="0" fontId="5" fillId="19" borderId="163" xfId="10" applyFont="1" applyFill="1" applyBorder="1" applyAlignment="1">
      <alignment horizontal="center" vertical="center"/>
    </xf>
    <xf numFmtId="0" fontId="2" fillId="0" borderId="167" xfId="0" applyFont="1" applyBorder="1" applyAlignment="1">
      <alignment horizontal="center" vertical="center" wrapText="1" shrinkToFit="1"/>
    </xf>
    <xf numFmtId="0" fontId="2" fillId="0" borderId="168" xfId="0" applyFont="1" applyBorder="1" applyAlignment="1">
      <alignment horizontal="center" vertical="center" wrapText="1" shrinkToFit="1"/>
    </xf>
    <xf numFmtId="0" fontId="2" fillId="0" borderId="28" xfId="0" applyFont="1" applyBorder="1" applyAlignment="1">
      <alignment horizontal="center" vertical="center" wrapText="1" shrinkToFit="1"/>
    </xf>
    <xf numFmtId="0" fontId="2" fillId="0" borderId="18" xfId="0" applyFont="1" applyBorder="1" applyAlignment="1">
      <alignment horizontal="center" vertical="center" wrapText="1" shrinkToFit="1"/>
    </xf>
    <xf numFmtId="0" fontId="7" fillId="0" borderId="163" xfId="0" applyFont="1" applyBorder="1"/>
    <xf numFmtId="0" fontId="7" fillId="0" borderId="163" xfId="0" applyFont="1" applyBorder="1" applyAlignment="1">
      <alignment horizontal="center"/>
    </xf>
    <xf numFmtId="169" fontId="279" fillId="7" borderId="163" xfId="0" applyNumberFormat="1" applyFont="1" applyFill="1" applyBorder="1" applyAlignment="1">
      <alignment horizontal="center" vertical="center" wrapText="1" shrinkToFit="1"/>
    </xf>
    <xf numFmtId="0" fontId="361" fillId="0" borderId="163" xfId="0" applyFont="1" applyBorder="1" applyAlignment="1">
      <alignment horizontal="center"/>
    </xf>
    <xf numFmtId="0" fontId="279" fillId="0" borderId="163" xfId="0" applyFont="1" applyBorder="1" applyAlignment="1">
      <alignment horizontal="left" vertical="center"/>
    </xf>
    <xf numFmtId="204" fontId="18" fillId="0" borderId="163" xfId="5" applyNumberFormat="1" applyFont="1" applyFill="1" applyBorder="1" applyAlignment="1">
      <alignment horizontal="center" vertical="center"/>
    </xf>
    <xf numFmtId="0" fontId="262" fillId="0" borderId="163" xfId="0" applyFont="1" applyBorder="1" applyAlignment="1">
      <alignment horizontal="center" vertical="center"/>
    </xf>
    <xf numFmtId="0" fontId="0" fillId="0" borderId="0" xfId="0" applyAlignment="1">
      <alignment horizontal="center"/>
    </xf>
    <xf numFmtId="0" fontId="10" fillId="0" borderId="0" xfId="0" applyFont="1" applyAlignment="1">
      <alignment wrapText="1"/>
    </xf>
    <xf numFmtId="0" fontId="563" fillId="0" borderId="0" xfId="0" applyFont="1" applyAlignment="1">
      <alignment horizontal="center" vertical="center" wrapText="1" shrinkToFit="1"/>
    </xf>
    <xf numFmtId="224" fontId="565" fillId="17" borderId="0" xfId="0" applyNumberFormat="1" applyFont="1" applyFill="1" applyAlignment="1">
      <alignment horizontal="left" vertical="center"/>
    </xf>
    <xf numFmtId="0" fontId="566" fillId="0" borderId="0" xfId="0" applyFont="1"/>
    <xf numFmtId="0" fontId="567" fillId="17" borderId="0" xfId="0" applyFont="1" applyFill="1"/>
    <xf numFmtId="0" fontId="0" fillId="0" borderId="0" xfId="0" applyAlignment="1">
      <alignment horizontal="center"/>
    </xf>
    <xf numFmtId="14" fontId="461" fillId="0" borderId="43" xfId="0" applyNumberFormat="1" applyFont="1" applyFill="1" applyBorder="1" applyAlignment="1">
      <alignment horizontal="center" vertical="center" shrinkToFit="1"/>
    </xf>
    <xf numFmtId="14" fontId="521" fillId="0" borderId="71" xfId="0" applyNumberFormat="1" applyFont="1" applyFill="1" applyBorder="1" applyAlignment="1">
      <alignment horizontal="center"/>
    </xf>
    <xf numFmtId="41" fontId="0" fillId="0" borderId="119" xfId="0" applyNumberFormat="1" applyFill="1" applyBorder="1"/>
    <xf numFmtId="41" fontId="0" fillId="0" borderId="44" xfId="0" applyNumberFormat="1" applyFill="1" applyBorder="1"/>
    <xf numFmtId="14" fontId="461" fillId="17" borderId="17" xfId="0" applyNumberFormat="1" applyFont="1" applyFill="1" applyBorder="1" applyAlignment="1">
      <alignment horizontal="center" vertical="center" shrinkToFit="1"/>
    </xf>
    <xf numFmtId="41" fontId="459" fillId="0" borderId="40" xfId="0" applyNumberFormat="1" applyFont="1" applyBorder="1"/>
    <xf numFmtId="14" fontId="461" fillId="0" borderId="17" xfId="0" applyNumberFormat="1" applyFont="1" applyFill="1" applyBorder="1" applyAlignment="1">
      <alignment horizontal="center" vertical="center" shrinkToFit="1"/>
    </xf>
    <xf numFmtId="0" fontId="0" fillId="0" borderId="0" xfId="0" applyAlignment="1">
      <alignment horizontal="center"/>
    </xf>
    <xf numFmtId="0" fontId="360" fillId="0" borderId="163" xfId="0" applyFont="1" applyBorder="1" applyAlignment="1">
      <alignment horizontal="center"/>
    </xf>
    <xf numFmtId="0" fontId="2" fillId="17" borderId="0" xfId="0" applyFont="1" applyFill="1" applyBorder="1" applyAlignment="1">
      <alignment horizontal="center" vertical="center"/>
    </xf>
    <xf numFmtId="0" fontId="568" fillId="0" borderId="0" xfId="0" applyFont="1" applyFill="1" applyBorder="1" applyAlignment="1">
      <alignment horizontal="center"/>
    </xf>
    <xf numFmtId="0" fontId="4" fillId="19" borderId="0" xfId="0" applyFont="1" applyFill="1" applyBorder="1" applyAlignment="1">
      <alignment horizontal="center"/>
    </xf>
    <xf numFmtId="0" fontId="430" fillId="19" borderId="0" xfId="0" applyFont="1" applyFill="1" applyBorder="1" applyAlignment="1">
      <alignment horizontal="center"/>
    </xf>
    <xf numFmtId="0" fontId="279" fillId="19" borderId="0" xfId="0" applyFont="1" applyFill="1" applyBorder="1" applyAlignment="1">
      <alignment horizontal="left" vertical="center"/>
    </xf>
    <xf numFmtId="0" fontId="4" fillId="19" borderId="62" xfId="0" applyFont="1" applyFill="1" applyBorder="1" applyAlignment="1">
      <alignment horizontal="center"/>
    </xf>
    <xf numFmtId="165" fontId="7" fillId="0" borderId="0" xfId="7" applyFont="1" applyFill="1"/>
    <xf numFmtId="0" fontId="569" fillId="0" borderId="53" xfId="0" applyFont="1" applyBorder="1" applyAlignment="1">
      <alignment horizontal="center"/>
    </xf>
    <xf numFmtId="0" fontId="0" fillId="0" borderId="0" xfId="0" applyBorder="1" applyAlignment="1">
      <alignment horizontal="center"/>
    </xf>
    <xf numFmtId="0" fontId="7" fillId="0" borderId="29" xfId="0" applyFont="1" applyBorder="1" applyAlignment="1">
      <alignment horizontal="center"/>
    </xf>
    <xf numFmtId="2" fontId="2" fillId="0" borderId="0" xfId="0" applyNumberFormat="1" applyFont="1"/>
    <xf numFmtId="2" fontId="10" fillId="0" borderId="163" xfId="0" applyNumberFormat="1" applyFont="1" applyBorder="1"/>
    <xf numFmtId="0" fontId="0" fillId="0" borderId="163" xfId="0" applyBorder="1"/>
    <xf numFmtId="0" fontId="2" fillId="0" borderId="163" xfId="0" applyFont="1" applyBorder="1"/>
    <xf numFmtId="2" fontId="2" fillId="0" borderId="163" xfId="0" applyNumberFormat="1" applyFont="1" applyBorder="1" applyAlignment="1">
      <alignment horizontal="center"/>
    </xf>
    <xf numFmtId="0" fontId="2" fillId="0" borderId="164" xfId="0" applyFont="1" applyBorder="1"/>
    <xf numFmtId="0" fontId="499" fillId="0" borderId="164" xfId="0" applyFont="1" applyFill="1" applyBorder="1" applyAlignment="1">
      <alignment horizontal="center"/>
    </xf>
    <xf numFmtId="166" fontId="0" fillId="0" borderId="164" xfId="5" applyFont="1" applyBorder="1"/>
    <xf numFmtId="0" fontId="2" fillId="0" borderId="83" xfId="0" applyFont="1" applyBorder="1"/>
    <xf numFmtId="0" fontId="2" fillId="0" borderId="84" xfId="0" applyFont="1" applyFill="1" applyBorder="1" applyAlignment="1">
      <alignment horizontal="center"/>
    </xf>
    <xf numFmtId="166" fontId="0" fillId="0" borderId="25" xfId="5" applyFont="1" applyBorder="1"/>
    <xf numFmtId="0" fontId="470" fillId="27" borderId="38" xfId="0" applyFont="1" applyFill="1" applyBorder="1" applyAlignment="1">
      <alignment horizontal="center" vertical="center"/>
    </xf>
    <xf numFmtId="227" fontId="10" fillId="0" borderId="0" xfId="5" applyNumberFormat="1" applyFont="1"/>
    <xf numFmtId="0" fontId="0" fillId="0" borderId="0" xfId="0" applyAlignment="1">
      <alignment horizontal="center"/>
    </xf>
    <xf numFmtId="0" fontId="571" fillId="0" borderId="0" xfId="0" applyFont="1" applyAlignment="1">
      <alignment horizontal="left" indent="1"/>
    </xf>
    <xf numFmtId="227" fontId="10" fillId="0" borderId="0" xfId="0" applyNumberFormat="1" applyFont="1"/>
    <xf numFmtId="0" fontId="572" fillId="0" borderId="0" xfId="0" applyFont="1"/>
    <xf numFmtId="0" fontId="573" fillId="16" borderId="73" xfId="0" applyFont="1" applyFill="1" applyBorder="1" applyAlignment="1">
      <alignment horizontal="center" vertical="center"/>
    </xf>
    <xf numFmtId="0" fontId="0" fillId="28" borderId="41" xfId="0" applyFill="1" applyBorder="1"/>
    <xf numFmtId="14" fontId="0" fillId="28" borderId="72" xfId="0" applyNumberFormat="1" applyFill="1" applyBorder="1"/>
    <xf numFmtId="0" fontId="15" fillId="28" borderId="29" xfId="4" applyFill="1" applyBorder="1" applyAlignment="1" applyProtection="1"/>
    <xf numFmtId="0" fontId="0" fillId="28" borderId="71" xfId="0" applyFill="1" applyBorder="1"/>
    <xf numFmtId="0" fontId="0" fillId="28" borderId="0" xfId="0" applyFill="1" applyBorder="1"/>
    <xf numFmtId="0" fontId="0" fillId="28" borderId="73" xfId="0" applyFill="1" applyBorder="1"/>
    <xf numFmtId="0" fontId="65" fillId="28" borderId="62" xfId="4" applyFont="1" applyFill="1" applyBorder="1" applyAlignment="1" applyProtection="1"/>
    <xf numFmtId="0" fontId="0" fillId="28" borderId="60" xfId="0" applyFill="1" applyBorder="1"/>
    <xf numFmtId="14" fontId="2" fillId="28" borderId="72" xfId="0" applyNumberFormat="1" applyFont="1" applyFill="1" applyBorder="1"/>
    <xf numFmtId="0" fontId="15" fillId="28" borderId="62" xfId="4" applyFill="1" applyBorder="1" applyAlignment="1" applyProtection="1"/>
    <xf numFmtId="0" fontId="574" fillId="28" borderId="48" xfId="0" applyFont="1" applyFill="1" applyBorder="1" applyAlignment="1">
      <alignment horizontal="center"/>
    </xf>
    <xf numFmtId="0" fontId="574" fillId="28" borderId="41" xfId="0" applyFont="1" applyFill="1" applyBorder="1"/>
    <xf numFmtId="0" fontId="574" fillId="28" borderId="53" xfId="0" applyFont="1" applyFill="1" applyBorder="1" applyAlignment="1">
      <alignment horizontal="center"/>
    </xf>
    <xf numFmtId="0" fontId="574" fillId="28" borderId="29" xfId="0" applyFont="1" applyFill="1" applyBorder="1"/>
    <xf numFmtId="0" fontId="574" fillId="28" borderId="108" xfId="0" applyFont="1" applyFill="1" applyBorder="1" applyAlignment="1">
      <alignment horizontal="center"/>
    </xf>
    <xf numFmtId="0" fontId="574" fillId="28" borderId="0" xfId="0" applyFont="1" applyFill="1" applyBorder="1"/>
    <xf numFmtId="0" fontId="574" fillId="28" borderId="52" xfId="0" applyFont="1" applyFill="1" applyBorder="1"/>
    <xf numFmtId="0" fontId="574" fillId="28" borderId="62" xfId="0" applyFont="1" applyFill="1" applyBorder="1"/>
    <xf numFmtId="0" fontId="356" fillId="0" borderId="0" xfId="0" applyFont="1"/>
    <xf numFmtId="214" fontId="4" fillId="0" borderId="0" xfId="0" applyNumberFormat="1" applyFont="1"/>
    <xf numFmtId="14" fontId="511" fillId="17" borderId="17" xfId="0" applyNumberFormat="1" applyFont="1" applyFill="1" applyBorder="1" applyAlignment="1">
      <alignment horizontal="center"/>
    </xf>
    <xf numFmtId="14" fontId="511" fillId="17" borderId="20" xfId="0" applyNumberFormat="1" applyFont="1" applyFill="1" applyBorder="1" applyAlignment="1">
      <alignment horizontal="center"/>
    </xf>
    <xf numFmtId="0" fontId="10" fillId="0" borderId="41" xfId="0" applyFont="1" applyBorder="1"/>
    <xf numFmtId="166" fontId="5" fillId="0" borderId="108" xfId="0" applyNumberFormat="1" applyFont="1" applyBorder="1" applyAlignment="1">
      <alignment vertical="center"/>
    </xf>
    <xf numFmtId="0" fontId="2" fillId="0" borderId="48" xfId="0" applyFont="1" applyBorder="1" applyAlignment="1">
      <alignment horizontal="center"/>
    </xf>
    <xf numFmtId="14" fontId="4" fillId="0" borderId="72" xfId="0" applyNumberFormat="1" applyFont="1" applyBorder="1" applyAlignment="1">
      <alignment horizontal="center"/>
    </xf>
    <xf numFmtId="0" fontId="2" fillId="0" borderId="108" xfId="0" applyFont="1" applyBorder="1" applyAlignment="1">
      <alignment horizontal="center"/>
    </xf>
    <xf numFmtId="0" fontId="2" fillId="0" borderId="0" xfId="0" applyFont="1" applyBorder="1" applyAlignment="1">
      <alignment vertical="center" wrapText="1" shrinkToFit="1"/>
    </xf>
    <xf numFmtId="183" fontId="2" fillId="0" borderId="1" xfId="0" applyNumberFormat="1" applyFont="1" applyBorder="1" applyAlignment="1">
      <alignment horizontal="center" vertical="center"/>
    </xf>
    <xf numFmtId="0" fontId="2" fillId="0" borderId="73" xfId="0" applyFont="1" applyBorder="1" applyAlignment="1">
      <alignment horizontal="center"/>
    </xf>
    <xf numFmtId="0" fontId="575" fillId="0" borderId="0" xfId="0" applyFont="1"/>
    <xf numFmtId="0" fontId="0" fillId="0" borderId="0" xfId="0" applyBorder="1" applyAlignment="1">
      <alignment horizontal="center"/>
    </xf>
    <xf numFmtId="16" fontId="564" fillId="17" borderId="0" xfId="0" applyNumberFormat="1" applyFont="1" applyFill="1" applyAlignment="1">
      <alignment horizontal="right" vertical="center"/>
    </xf>
    <xf numFmtId="0" fontId="576" fillId="0" borderId="0" xfId="0" applyFont="1"/>
    <xf numFmtId="0" fontId="7" fillId="0" borderId="85" xfId="0" applyFont="1" applyBorder="1" applyAlignment="1">
      <alignment horizontal="center"/>
    </xf>
    <xf numFmtId="0" fontId="360" fillId="0" borderId="17" xfId="0" applyFont="1" applyFill="1" applyBorder="1" applyAlignment="1">
      <alignment horizontal="center"/>
    </xf>
    <xf numFmtId="0" fontId="4" fillId="0" borderId="2" xfId="0" applyFont="1" applyFill="1" applyBorder="1" applyAlignment="1">
      <alignment horizontal="center"/>
    </xf>
    <xf numFmtId="0" fontId="4" fillId="0" borderId="8" xfId="0" applyFont="1" applyFill="1" applyBorder="1" applyAlignment="1">
      <alignment horizontal="center"/>
    </xf>
    <xf numFmtId="0" fontId="2" fillId="0" borderId="8" xfId="0" applyFont="1" applyFill="1" applyBorder="1" applyAlignment="1">
      <alignment horizontal="center"/>
    </xf>
    <xf numFmtId="0" fontId="279" fillId="0" borderId="4" xfId="0" applyFont="1" applyFill="1" applyBorder="1" applyAlignment="1">
      <alignment horizontal="left" vertical="center"/>
    </xf>
    <xf numFmtId="204" fontId="18" fillId="0" borderId="5" xfId="5" applyNumberFormat="1" applyFont="1" applyFill="1" applyBorder="1" applyAlignment="1">
      <alignment horizontal="center" vertical="center"/>
    </xf>
    <xf numFmtId="0" fontId="262" fillId="0" borderId="6" xfId="0" applyFont="1" applyFill="1" applyBorder="1" applyAlignment="1">
      <alignment horizontal="center" vertical="center"/>
    </xf>
    <xf numFmtId="4" fontId="0" fillId="0" borderId="0" xfId="0" applyNumberFormat="1" applyAlignment="1">
      <alignment horizontal="center" shrinkToFit="1"/>
    </xf>
    <xf numFmtId="204" fontId="367" fillId="0" borderId="53" xfId="5" applyNumberFormat="1" applyFont="1" applyFill="1" applyBorder="1" applyAlignment="1">
      <alignment horizontal="center" vertical="center"/>
    </xf>
    <xf numFmtId="0" fontId="577" fillId="0" borderId="73" xfId="0" applyFont="1" applyFill="1" applyBorder="1" applyAlignment="1">
      <alignment horizontal="center" vertical="center"/>
    </xf>
    <xf numFmtId="0" fontId="577" fillId="0" borderId="62" xfId="0" applyFont="1" applyFill="1" applyBorder="1" applyAlignment="1">
      <alignment horizontal="center" vertical="center"/>
    </xf>
    <xf numFmtId="0" fontId="578" fillId="0" borderId="0" xfId="0" applyFont="1"/>
    <xf numFmtId="0" fontId="441" fillId="16" borderId="0" xfId="0" applyFont="1" applyFill="1" applyBorder="1" applyAlignment="1">
      <alignment horizontal="center"/>
    </xf>
    <xf numFmtId="0" fontId="579" fillId="16" borderId="0" xfId="0" applyFont="1" applyFill="1" applyBorder="1" applyAlignment="1">
      <alignment horizontal="center"/>
    </xf>
    <xf numFmtId="0" fontId="570" fillId="17" borderId="29" xfId="0" applyFont="1" applyFill="1" applyBorder="1" applyAlignment="1">
      <alignment horizontal="left" vertical="center"/>
    </xf>
    <xf numFmtId="0" fontId="13" fillId="29" borderId="41" xfId="0" applyFont="1" applyFill="1" applyBorder="1" applyAlignment="1">
      <alignment horizontal="center"/>
    </xf>
    <xf numFmtId="0" fontId="13" fillId="29" borderId="0" xfId="0" applyFont="1" applyFill="1" applyBorder="1" applyAlignment="1">
      <alignment horizontal="center"/>
    </xf>
    <xf numFmtId="204" fontId="18" fillId="29" borderId="41" xfId="0" applyNumberFormat="1" applyFont="1" applyFill="1" applyBorder="1" applyAlignment="1">
      <alignment horizontal="center"/>
    </xf>
    <xf numFmtId="204" fontId="18" fillId="29" borderId="0" xfId="0" applyNumberFormat="1" applyFont="1" applyFill="1" applyBorder="1" applyAlignment="1">
      <alignment horizontal="center"/>
    </xf>
    <xf numFmtId="0" fontId="4" fillId="29" borderId="41" xfId="0" applyFont="1" applyFill="1" applyBorder="1" applyAlignment="1">
      <alignment horizontal="center"/>
    </xf>
    <xf numFmtId="0" fontId="4" fillId="29" borderId="0" xfId="0" applyFont="1" applyFill="1" applyBorder="1" applyAlignment="1">
      <alignment horizontal="center"/>
    </xf>
    <xf numFmtId="0" fontId="581" fillId="16" borderId="73" xfId="0" applyFont="1" applyFill="1" applyBorder="1" applyAlignment="1">
      <alignment horizontal="center" vertical="center"/>
    </xf>
    <xf numFmtId="204" fontId="582" fillId="16" borderId="108" xfId="5" applyNumberFormat="1" applyFont="1" applyFill="1" applyBorder="1" applyAlignment="1">
      <alignment horizontal="center" vertical="center"/>
    </xf>
    <xf numFmtId="188" fontId="583" fillId="0" borderId="35" xfId="0" applyNumberFormat="1" applyFont="1" applyBorder="1" applyAlignment="1">
      <alignment horizontal="center"/>
    </xf>
    <xf numFmtId="0" fontId="552" fillId="0" borderId="36" xfId="0" applyFont="1" applyBorder="1" applyAlignment="1">
      <alignment horizontal="left"/>
    </xf>
    <xf numFmtId="0" fontId="584" fillId="0" borderId="36" xfId="0" applyFont="1" applyBorder="1" applyAlignment="1">
      <alignment horizontal="center"/>
    </xf>
    <xf numFmtId="166" fontId="552" fillId="0" borderId="37" xfId="0" applyNumberFormat="1" applyFont="1" applyBorder="1"/>
    <xf numFmtId="188" fontId="583" fillId="0" borderId="27" xfId="0" applyNumberFormat="1" applyFont="1" applyBorder="1" applyAlignment="1">
      <alignment horizontal="center"/>
    </xf>
    <xf numFmtId="0" fontId="552" fillId="0" borderId="0" xfId="0" applyFont="1" applyBorder="1" applyAlignment="1">
      <alignment horizontal="left"/>
    </xf>
    <xf numFmtId="0" fontId="584" fillId="0" borderId="0" xfId="0" applyFont="1" applyBorder="1" applyAlignment="1">
      <alignment horizontal="center"/>
    </xf>
    <xf numFmtId="166" fontId="552" fillId="0" borderId="38" xfId="0" applyNumberFormat="1" applyFont="1" applyBorder="1"/>
    <xf numFmtId="166" fontId="585" fillId="0" borderId="38" xfId="0" applyNumberFormat="1" applyFont="1" applyBorder="1" applyAlignment="1">
      <alignment horizontal="center"/>
    </xf>
    <xf numFmtId="188" fontId="479" fillId="0" borderId="27" xfId="0" applyNumberFormat="1" applyFont="1" applyBorder="1" applyAlignment="1">
      <alignment horizontal="center"/>
    </xf>
    <xf numFmtId="0" fontId="552" fillId="0" borderId="0" xfId="0" applyFont="1" applyBorder="1" applyAlignment="1">
      <alignment horizontal="center"/>
    </xf>
    <xf numFmtId="165" fontId="586" fillId="0" borderId="38" xfId="0" applyNumberFormat="1" applyFont="1" applyBorder="1"/>
    <xf numFmtId="165" fontId="587" fillId="0" borderId="38" xfId="0" applyNumberFormat="1" applyFont="1" applyBorder="1"/>
    <xf numFmtId="49" fontId="479" fillId="0" borderId="27" xfId="0" applyNumberFormat="1" applyFont="1" applyBorder="1" applyAlignment="1">
      <alignment horizontal="center"/>
    </xf>
    <xf numFmtId="0" fontId="552" fillId="0" borderId="28" xfId="0" applyFont="1" applyBorder="1"/>
    <xf numFmtId="0" fontId="587" fillId="0" borderId="29" xfId="0" applyFont="1" applyBorder="1" applyAlignment="1">
      <alignment horizontal="center"/>
    </xf>
    <xf numFmtId="165" fontId="588" fillId="0" borderId="1" xfId="0" applyNumberFormat="1" applyFont="1" applyBorder="1"/>
    <xf numFmtId="0" fontId="552" fillId="0" borderId="0" xfId="0" applyFont="1"/>
    <xf numFmtId="16" fontId="552" fillId="0" borderId="0" xfId="0" applyNumberFormat="1" applyFont="1" applyBorder="1" applyAlignment="1">
      <alignment horizontal="center"/>
    </xf>
    <xf numFmtId="166" fontId="2" fillId="0" borderId="0" xfId="0" applyNumberFormat="1" applyFont="1" applyBorder="1" applyAlignment="1">
      <alignment vertical="center"/>
    </xf>
    <xf numFmtId="0" fontId="580" fillId="17" borderId="0" xfId="0" applyFont="1" applyFill="1" applyBorder="1" applyAlignment="1">
      <alignment horizontal="left" vertical="center"/>
    </xf>
    <xf numFmtId="0" fontId="473" fillId="17" borderId="0" xfId="0" applyFont="1" applyFill="1" applyBorder="1" applyAlignment="1">
      <alignment horizontal="left" vertical="center"/>
    </xf>
    <xf numFmtId="0" fontId="383" fillId="0" borderId="108" xfId="0" applyFont="1" applyFill="1" applyBorder="1" applyAlignment="1">
      <alignment horizontal="center" vertical="center"/>
    </xf>
    <xf numFmtId="14" fontId="461" fillId="0" borderId="71" xfId="0" applyNumberFormat="1" applyFont="1" applyBorder="1" applyAlignment="1">
      <alignment horizontal="center" vertical="center" shrinkToFit="1"/>
    </xf>
    <xf numFmtId="0" fontId="468" fillId="0" borderId="31" xfId="0" applyFont="1" applyBorder="1" applyAlignment="1">
      <alignment horizontal="center" vertical="center" shrinkToFit="1"/>
    </xf>
    <xf numFmtId="0" fontId="507" fillId="0" borderId="17" xfId="0" applyFont="1" applyBorder="1"/>
    <xf numFmtId="0" fontId="507" fillId="0" borderId="21" xfId="0" applyFont="1" applyBorder="1"/>
    <xf numFmtId="0" fontId="507" fillId="0" borderId="23" xfId="0" applyFont="1" applyBorder="1"/>
    <xf numFmtId="14" fontId="4" fillId="0" borderId="20" xfId="0" applyNumberFormat="1" applyFont="1" applyFill="1" applyBorder="1" applyAlignment="1">
      <alignment horizontal="center"/>
    </xf>
    <xf numFmtId="14" fontId="4" fillId="0" borderId="71" xfId="0" applyNumberFormat="1" applyFont="1" applyFill="1" applyBorder="1" applyAlignment="1">
      <alignment horizontal="center"/>
    </xf>
    <xf numFmtId="14" fontId="511" fillId="0" borderId="20" xfId="0" applyNumberFormat="1" applyFont="1" applyFill="1" applyBorder="1" applyAlignment="1">
      <alignment horizontal="center"/>
    </xf>
    <xf numFmtId="41" fontId="2" fillId="0" borderId="9" xfId="0" applyNumberFormat="1" applyFont="1" applyFill="1" applyBorder="1"/>
    <xf numFmtId="0" fontId="10" fillId="0" borderId="167" xfId="0" applyFont="1" applyBorder="1" applyAlignment="1">
      <alignment horizontal="center" vertical="center" wrapText="1" shrinkToFit="1"/>
    </xf>
    <xf numFmtId="0" fontId="10" fillId="0" borderId="168" xfId="0" applyFont="1" applyBorder="1" applyAlignment="1">
      <alignment horizontal="center" vertical="center" wrapText="1" shrinkToFit="1"/>
    </xf>
    <xf numFmtId="0" fontId="10" fillId="0" borderId="28" xfId="0" applyFont="1" applyBorder="1" applyAlignment="1">
      <alignment horizontal="center" vertical="center" wrapText="1" shrinkToFit="1"/>
    </xf>
    <xf numFmtId="0" fontId="10" fillId="0" borderId="18" xfId="0" applyFont="1" applyBorder="1" applyAlignment="1">
      <alignment horizontal="center" vertical="center" wrapText="1" shrinkToFit="1"/>
    </xf>
    <xf numFmtId="0" fontId="0" fillId="0" borderId="0" xfId="0" applyAlignment="1">
      <alignment horizontal="center"/>
    </xf>
    <xf numFmtId="0" fontId="0" fillId="0" borderId="0" xfId="0" applyBorder="1" applyAlignment="1">
      <alignment horizontal="center"/>
    </xf>
    <xf numFmtId="0" fontId="253" fillId="0" borderId="176" xfId="0" applyFont="1" applyBorder="1" applyAlignment="1">
      <alignment vertical="center"/>
    </xf>
    <xf numFmtId="0" fontId="317" fillId="0" borderId="0" xfId="0" applyFont="1" applyBorder="1"/>
    <xf numFmtId="14" fontId="589" fillId="19" borderId="31" xfId="0" applyNumberFormat="1" applyFont="1" applyFill="1" applyBorder="1" applyAlignment="1">
      <alignment horizontal="center" vertical="center" shrinkToFit="1"/>
    </xf>
    <xf numFmtId="41" fontId="589" fillId="19" borderId="9" xfId="0" applyNumberFormat="1" applyFont="1" applyFill="1" applyBorder="1"/>
    <xf numFmtId="41" fontId="589" fillId="19" borderId="6" xfId="0" applyNumberFormat="1" applyFont="1" applyFill="1" applyBorder="1"/>
    <xf numFmtId="14" fontId="590" fillId="19" borderId="17" xfId="0" applyNumberFormat="1" applyFont="1" applyFill="1" applyBorder="1" applyAlignment="1">
      <alignment horizontal="center"/>
    </xf>
    <xf numFmtId="0" fontId="52" fillId="19" borderId="0" xfId="0" applyFont="1" applyFill="1"/>
    <xf numFmtId="0" fontId="7" fillId="19" borderId="0" xfId="0" applyFont="1" applyFill="1"/>
    <xf numFmtId="166" fontId="7" fillId="19" borderId="0" xfId="5" applyFont="1" applyFill="1"/>
    <xf numFmtId="166" fontId="591" fillId="19" borderId="0" xfId="5" applyFont="1" applyFill="1"/>
    <xf numFmtId="0" fontId="0" fillId="0" borderId="108" xfId="0" applyBorder="1"/>
    <xf numFmtId="166" fontId="593" fillId="0" borderId="163" xfId="0" applyNumberFormat="1" applyFont="1" applyBorder="1" applyAlignment="1">
      <alignment horizontal="center"/>
    </xf>
    <xf numFmtId="166" fontId="591" fillId="0" borderId="0" xfId="5" applyFont="1"/>
    <xf numFmtId="166" fontId="26" fillId="0" borderId="108" xfId="0" applyNumberFormat="1" applyFont="1" applyBorder="1" applyAlignment="1">
      <alignment horizontal="left"/>
    </xf>
    <xf numFmtId="205" fontId="337" fillId="0" borderId="19" xfId="0" applyNumberFormat="1" applyFont="1" applyBorder="1" applyAlignment="1">
      <alignment horizontal="center"/>
    </xf>
    <xf numFmtId="0" fontId="7" fillId="0" borderId="19" xfId="0" applyFont="1" applyBorder="1"/>
    <xf numFmtId="166" fontId="592" fillId="0" borderId="19" xfId="0" applyNumberFormat="1" applyFont="1" applyBorder="1" applyAlignment="1">
      <alignment horizontal="center"/>
    </xf>
    <xf numFmtId="205" fontId="18" fillId="0" borderId="107" xfId="0" applyNumberFormat="1" applyFont="1" applyBorder="1" applyAlignment="1"/>
    <xf numFmtId="0" fontId="594" fillId="0" borderId="0" xfId="0" applyFont="1"/>
    <xf numFmtId="0" fontId="2" fillId="30" borderId="48" xfId="0" applyFont="1" applyFill="1" applyBorder="1" applyAlignment="1">
      <alignment horizontal="center"/>
    </xf>
    <xf numFmtId="0" fontId="5" fillId="30" borderId="41" xfId="0" applyFont="1" applyFill="1" applyBorder="1"/>
    <xf numFmtId="0" fontId="10" fillId="30" borderId="41" xfId="0" applyFont="1" applyFill="1" applyBorder="1"/>
    <xf numFmtId="14" fontId="4" fillId="30" borderId="72" xfId="0" applyNumberFormat="1" applyFont="1" applyFill="1" applyBorder="1" applyAlignment="1">
      <alignment horizontal="center"/>
    </xf>
    <xf numFmtId="0" fontId="2" fillId="30" borderId="108" xfId="0" applyFont="1" applyFill="1" applyBorder="1" applyAlignment="1">
      <alignment horizontal="center"/>
    </xf>
    <xf numFmtId="49" fontId="2" fillId="30" borderId="0" xfId="0" applyNumberFormat="1" applyFont="1" applyFill="1" applyBorder="1" applyAlignment="1">
      <alignment horizontal="center"/>
    </xf>
    <xf numFmtId="0" fontId="10" fillId="30" borderId="0" xfId="0" applyFont="1" applyFill="1" applyBorder="1" applyAlignment="1">
      <alignment horizontal="center"/>
    </xf>
    <xf numFmtId="229" fontId="0" fillId="30" borderId="73" xfId="0" applyNumberFormat="1" applyFill="1" applyBorder="1" applyAlignment="1">
      <alignment horizontal="center"/>
    </xf>
    <xf numFmtId="166" fontId="5" fillId="30" borderId="108" xfId="0" applyNumberFormat="1" applyFont="1" applyFill="1" applyBorder="1" applyAlignment="1">
      <alignment vertical="center"/>
    </xf>
    <xf numFmtId="166" fontId="5" fillId="30" borderId="0" xfId="0" applyNumberFormat="1" applyFont="1" applyFill="1" applyBorder="1" applyAlignment="1">
      <alignment vertical="center"/>
    </xf>
    <xf numFmtId="0" fontId="0" fillId="30" borderId="0" xfId="0" applyFill="1" applyBorder="1"/>
    <xf numFmtId="0" fontId="0" fillId="30" borderId="73" xfId="0" applyFill="1" applyBorder="1"/>
    <xf numFmtId="0" fontId="2" fillId="30" borderId="52" xfId="0" applyFont="1" applyFill="1" applyBorder="1" applyAlignment="1">
      <alignment horizontal="center" vertical="center"/>
    </xf>
    <xf numFmtId="0" fontId="0" fillId="30" borderId="62" xfId="0" applyFill="1" applyBorder="1" applyAlignment="1">
      <alignment horizontal="center"/>
    </xf>
    <xf numFmtId="0" fontId="15" fillId="30" borderId="62" xfId="4" applyFill="1" applyBorder="1" applyAlignment="1" applyProtection="1"/>
    <xf numFmtId="0" fontId="0" fillId="30" borderId="60" xfId="0" applyFill="1" applyBorder="1"/>
    <xf numFmtId="0" fontId="2" fillId="30" borderId="108" xfId="0" applyFont="1" applyFill="1" applyBorder="1"/>
    <xf numFmtId="0" fontId="0" fillId="30" borderId="0" xfId="0" applyFill="1" applyBorder="1" applyAlignment="1">
      <alignment horizontal="center"/>
    </xf>
    <xf numFmtId="0" fontId="2" fillId="31" borderId="48" xfId="0" applyFont="1" applyFill="1" applyBorder="1" applyAlignment="1">
      <alignment horizontal="center"/>
    </xf>
    <xf numFmtId="0" fontId="5" fillId="31" borderId="41" xfId="0" applyFont="1" applyFill="1" applyBorder="1"/>
    <xf numFmtId="0" fontId="10" fillId="31" borderId="41" xfId="0" applyFont="1" applyFill="1" applyBorder="1"/>
    <xf numFmtId="14" fontId="4" fillId="31" borderId="72" xfId="0" applyNumberFormat="1" applyFont="1" applyFill="1" applyBorder="1" applyAlignment="1">
      <alignment horizontal="center"/>
    </xf>
    <xf numFmtId="0" fontId="2" fillId="31" borderId="108" xfId="0" applyFont="1" applyFill="1" applyBorder="1" applyAlignment="1">
      <alignment horizontal="center"/>
    </xf>
    <xf numFmtId="0" fontId="0" fillId="31" borderId="0" xfId="0" applyFill="1" applyBorder="1" applyAlignment="1">
      <alignment horizontal="center"/>
    </xf>
    <xf numFmtId="0" fontId="10" fillId="31" borderId="0" xfId="0" applyFont="1" applyFill="1" applyBorder="1" applyAlignment="1">
      <alignment horizontal="center"/>
    </xf>
    <xf numFmtId="229" fontId="0" fillId="31" borderId="73" xfId="0" applyNumberFormat="1" applyFill="1" applyBorder="1" applyAlignment="1">
      <alignment horizontal="center"/>
    </xf>
    <xf numFmtId="166" fontId="5" fillId="31" borderId="108" xfId="0" applyNumberFormat="1" applyFont="1" applyFill="1" applyBorder="1" applyAlignment="1">
      <alignment vertical="center"/>
    </xf>
    <xf numFmtId="166" fontId="2" fillId="31" borderId="0" xfId="0" applyNumberFormat="1" applyFont="1" applyFill="1" applyBorder="1" applyAlignment="1">
      <alignment vertical="center"/>
    </xf>
    <xf numFmtId="0" fontId="0" fillId="31" borderId="0" xfId="0" applyFill="1" applyBorder="1"/>
    <xf numFmtId="0" fontId="0" fillId="31" borderId="73" xfId="0" applyFill="1" applyBorder="1"/>
    <xf numFmtId="0" fontId="2" fillId="31" borderId="52" xfId="0" applyFont="1" applyFill="1" applyBorder="1" applyAlignment="1">
      <alignment horizontal="center" vertical="center"/>
    </xf>
    <xf numFmtId="0" fontId="0" fillId="31" borderId="62" xfId="0" applyFill="1" applyBorder="1" applyAlignment="1">
      <alignment horizontal="center"/>
    </xf>
    <xf numFmtId="0" fontId="2" fillId="31" borderId="62" xfId="4" applyFont="1" applyFill="1" applyBorder="1" applyAlignment="1" applyProtection="1"/>
    <xf numFmtId="0" fontId="0" fillId="31" borderId="60" xfId="0" applyFill="1" applyBorder="1"/>
    <xf numFmtId="216" fontId="451" fillId="0" borderId="27" xfId="0" applyNumberFormat="1" applyFont="1" applyBorder="1" applyAlignment="1">
      <alignment vertical="center"/>
    </xf>
    <xf numFmtId="0" fontId="2" fillId="32" borderId="48" xfId="0" applyFont="1" applyFill="1" applyBorder="1" applyAlignment="1">
      <alignment horizontal="center"/>
    </xf>
    <xf numFmtId="0" fontId="5" fillId="32" borderId="41" xfId="0" applyFont="1" applyFill="1" applyBorder="1"/>
    <xf numFmtId="0" fontId="10" fillId="32" borderId="41" xfId="0" applyFont="1" applyFill="1" applyBorder="1"/>
    <xf numFmtId="14" fontId="4" fillId="32" borderId="72" xfId="0" applyNumberFormat="1" applyFont="1" applyFill="1" applyBorder="1" applyAlignment="1">
      <alignment horizontal="center"/>
    </xf>
    <xf numFmtId="0" fontId="2" fillId="32" borderId="108" xfId="0" applyFont="1" applyFill="1" applyBorder="1" applyAlignment="1">
      <alignment horizontal="center"/>
    </xf>
    <xf numFmtId="0" fontId="2" fillId="32" borderId="0" xfId="0" applyFont="1" applyFill="1" applyBorder="1" applyAlignment="1">
      <alignment horizontal="center"/>
    </xf>
    <xf numFmtId="0" fontId="10" fillId="32" borderId="0" xfId="0" applyFont="1" applyFill="1" applyBorder="1" applyAlignment="1">
      <alignment horizontal="center"/>
    </xf>
    <xf numFmtId="229" fontId="0" fillId="32" borderId="73" xfId="0" applyNumberFormat="1" applyFill="1" applyBorder="1" applyAlignment="1">
      <alignment horizontal="center"/>
    </xf>
    <xf numFmtId="166" fontId="5" fillId="32" borderId="108" xfId="0" applyNumberFormat="1" applyFont="1" applyFill="1" applyBorder="1" applyAlignment="1">
      <alignment vertical="center"/>
    </xf>
    <xf numFmtId="166" fontId="2" fillId="32" borderId="0" xfId="0" applyNumberFormat="1" applyFont="1" applyFill="1" applyBorder="1" applyAlignment="1">
      <alignment vertical="center"/>
    </xf>
    <xf numFmtId="0" fontId="0" fillId="32" borderId="0" xfId="0" applyFill="1" applyBorder="1"/>
    <xf numFmtId="0" fontId="0" fillId="32" borderId="73" xfId="0" applyFill="1" applyBorder="1"/>
    <xf numFmtId="0" fontId="2" fillId="32" borderId="52" xfId="0" applyFont="1" applyFill="1" applyBorder="1" applyAlignment="1">
      <alignment horizontal="center" vertical="center"/>
    </xf>
    <xf numFmtId="0" fontId="0" fillId="32" borderId="62" xfId="0" applyFill="1" applyBorder="1" applyAlignment="1">
      <alignment horizontal="center"/>
    </xf>
    <xf numFmtId="0" fontId="2" fillId="32" borderId="62" xfId="4" applyFont="1" applyFill="1" applyBorder="1" applyAlignment="1" applyProtection="1"/>
    <xf numFmtId="0" fontId="0" fillId="32" borderId="60" xfId="0" applyFill="1" applyBorder="1"/>
    <xf numFmtId="0" fontId="75" fillId="32" borderId="41" xfId="0" applyFont="1" applyFill="1" applyBorder="1"/>
    <xf numFmtId="0" fontId="2" fillId="33" borderId="48" xfId="0" applyFont="1" applyFill="1" applyBorder="1" applyAlignment="1"/>
    <xf numFmtId="0" fontId="0" fillId="33" borderId="41" xfId="0" applyFill="1" applyBorder="1"/>
    <xf numFmtId="14" fontId="2" fillId="33" borderId="72" xfId="0" applyNumberFormat="1" applyFont="1" applyFill="1" applyBorder="1"/>
    <xf numFmtId="0" fontId="26" fillId="33" borderId="52" xfId="0" applyFont="1" applyFill="1" applyBorder="1" applyAlignment="1">
      <alignment horizontal="center" vertical="center"/>
    </xf>
    <xf numFmtId="0" fontId="0" fillId="33" borderId="62" xfId="0" applyFill="1" applyBorder="1"/>
    <xf numFmtId="0" fontId="15" fillId="33" borderId="62" xfId="4" applyFill="1" applyBorder="1" applyAlignment="1" applyProtection="1"/>
    <xf numFmtId="0" fontId="0" fillId="33" borderId="60" xfId="0" applyFill="1" applyBorder="1"/>
    <xf numFmtId="0" fontId="574" fillId="34" borderId="48" xfId="0" applyFont="1" applyFill="1" applyBorder="1" applyAlignment="1"/>
    <xf numFmtId="0" fontId="574" fillId="34" borderId="41" xfId="0" applyFont="1" applyFill="1" applyBorder="1"/>
    <xf numFmtId="0" fontId="0" fillId="34" borderId="41" xfId="0" applyFill="1" applyBorder="1"/>
    <xf numFmtId="14" fontId="2" fillId="34" borderId="72" xfId="0" applyNumberFormat="1" applyFont="1" applyFill="1" applyBorder="1"/>
    <xf numFmtId="0" fontId="574" fillId="34" borderId="52" xfId="0" applyFont="1" applyFill="1" applyBorder="1" applyAlignment="1">
      <alignment horizontal="center" vertical="center"/>
    </xf>
    <xf numFmtId="0" fontId="574" fillId="34" borderId="62" xfId="0" applyFont="1" applyFill="1" applyBorder="1"/>
    <xf numFmtId="0" fontId="15" fillId="34" borderId="62" xfId="4" applyFill="1" applyBorder="1" applyAlignment="1" applyProtection="1"/>
    <xf numFmtId="0" fontId="0" fillId="34" borderId="60" xfId="0" applyFill="1" applyBorder="1"/>
    <xf numFmtId="0" fontId="534" fillId="19" borderId="177" xfId="0" applyFont="1" applyFill="1" applyBorder="1"/>
    <xf numFmtId="0" fontId="22" fillId="19" borderId="178" xfId="0" applyFont="1" applyFill="1" applyBorder="1"/>
    <xf numFmtId="0" fontId="0" fillId="19" borderId="178" xfId="0" applyFill="1" applyBorder="1"/>
    <xf numFmtId="0" fontId="0" fillId="0" borderId="178" xfId="0" applyBorder="1"/>
    <xf numFmtId="0" fontId="456" fillId="0" borderId="179" xfId="0" applyFont="1" applyBorder="1"/>
    <xf numFmtId="0" fontId="0" fillId="19" borderId="180" xfId="0" applyFill="1" applyBorder="1"/>
    <xf numFmtId="0" fontId="534" fillId="19" borderId="181" xfId="0" applyFont="1" applyFill="1" applyBorder="1"/>
    <xf numFmtId="0" fontId="22" fillId="19" borderId="0" xfId="0" applyFont="1" applyFill="1" applyBorder="1"/>
    <xf numFmtId="0" fontId="0" fillId="19" borderId="0" xfId="0" applyFill="1" applyBorder="1"/>
    <xf numFmtId="41" fontId="0" fillId="0" borderId="0" xfId="0" applyNumberFormat="1" applyBorder="1"/>
    <xf numFmtId="0" fontId="0" fillId="19" borderId="182" xfId="0" applyFill="1" applyBorder="1"/>
    <xf numFmtId="0" fontId="533" fillId="19" borderId="183" xfId="0" applyFont="1" applyFill="1" applyBorder="1"/>
    <xf numFmtId="0" fontId="22" fillId="19" borderId="184" xfId="0" applyFont="1" applyFill="1" applyBorder="1"/>
    <xf numFmtId="0" fontId="0" fillId="19" borderId="184" xfId="0" applyFill="1" applyBorder="1"/>
    <xf numFmtId="0" fontId="0" fillId="0" borderId="184" xfId="0" applyBorder="1"/>
    <xf numFmtId="0" fontId="0" fillId="0" borderId="185" xfId="0" applyBorder="1"/>
    <xf numFmtId="0" fontId="0" fillId="19" borderId="186" xfId="0" applyFill="1" applyBorder="1"/>
    <xf numFmtId="0" fontId="595" fillId="17" borderId="0" xfId="0" applyFont="1" applyFill="1"/>
    <xf numFmtId="0" fontId="595" fillId="0" borderId="0" xfId="0" applyFont="1"/>
    <xf numFmtId="0" fontId="597" fillId="0" borderId="0" xfId="0" applyFont="1" applyAlignment="1">
      <alignment vertical="center"/>
    </xf>
    <xf numFmtId="0" fontId="599" fillId="17" borderId="0" xfId="0" applyFont="1" applyFill="1" applyAlignment="1"/>
    <xf numFmtId="226" fontId="600" fillId="0" borderId="0" xfId="0" applyNumberFormat="1" applyFont="1"/>
    <xf numFmtId="225" fontId="600" fillId="0" borderId="0" xfId="0" applyNumberFormat="1" applyFont="1" applyAlignment="1">
      <alignment horizontal="left"/>
    </xf>
    <xf numFmtId="228" fontId="10" fillId="0" borderId="11" xfId="0" applyNumberFormat="1" applyFont="1" applyBorder="1"/>
    <xf numFmtId="0" fontId="0" fillId="0" borderId="0" xfId="0" applyAlignment="1">
      <alignment horizontal="center"/>
    </xf>
    <xf numFmtId="0" fontId="2" fillId="0" borderId="108" xfId="0" applyFont="1" applyBorder="1" applyAlignment="1">
      <alignment horizontal="center" vertical="center"/>
    </xf>
    <xf numFmtId="49" fontId="598" fillId="19" borderId="167" xfId="9" applyNumberFormat="1" applyFont="1" applyFill="1" applyBorder="1" applyAlignment="1">
      <alignment horizontal="center"/>
    </xf>
    <xf numFmtId="14" fontId="598" fillId="19" borderId="168" xfId="0" applyNumberFormat="1" applyFont="1" applyFill="1" applyBorder="1" applyAlignment="1">
      <alignment horizontal="center"/>
    </xf>
    <xf numFmtId="0" fontId="598" fillId="19" borderId="28" xfId="9" applyNumberFormat="1" applyFont="1" applyFill="1" applyBorder="1" applyAlignment="1">
      <alignment horizontal="center"/>
    </xf>
    <xf numFmtId="20" fontId="598" fillId="19" borderId="18" xfId="0" applyNumberFormat="1" applyFont="1" applyFill="1" applyBorder="1" applyAlignment="1">
      <alignment horizontal="center" vertical="center"/>
    </xf>
    <xf numFmtId="14" fontId="598" fillId="19" borderId="170" xfId="0" applyNumberFormat="1" applyFont="1" applyFill="1" applyBorder="1" applyAlignment="1">
      <alignment horizontal="center"/>
    </xf>
    <xf numFmtId="20" fontId="598" fillId="19" borderId="29" xfId="0" applyNumberFormat="1" applyFont="1" applyFill="1" applyBorder="1" applyAlignment="1">
      <alignment horizontal="center" vertical="center"/>
    </xf>
    <xf numFmtId="0" fontId="598" fillId="19" borderId="27" xfId="9" applyNumberFormat="1" applyFont="1" applyFill="1" applyBorder="1" applyAlignment="1">
      <alignment horizontal="center"/>
    </xf>
    <xf numFmtId="20" fontId="598" fillId="19" borderId="38" xfId="0" applyNumberFormat="1" applyFont="1" applyFill="1" applyBorder="1" applyAlignment="1">
      <alignment horizontal="center" vertical="center"/>
    </xf>
    <xf numFmtId="0" fontId="0" fillId="0" borderId="168" xfId="0" applyBorder="1" applyAlignment="1">
      <alignment horizontal="center"/>
    </xf>
    <xf numFmtId="49" fontId="4" fillId="0" borderId="22" xfId="0" applyNumberFormat="1" applyFont="1" applyBorder="1" applyAlignment="1">
      <alignment horizontal="center"/>
    </xf>
    <xf numFmtId="49" fontId="4" fillId="0" borderId="24" xfId="0" applyNumberFormat="1" applyFont="1" applyBorder="1" applyAlignment="1">
      <alignment horizontal="center"/>
    </xf>
    <xf numFmtId="0" fontId="4" fillId="0" borderId="42" xfId="0" applyFont="1" applyBorder="1" applyAlignment="1">
      <alignment horizontal="center"/>
    </xf>
    <xf numFmtId="0" fontId="4" fillId="0" borderId="55" xfId="0" applyFont="1" applyBorder="1" applyAlignment="1">
      <alignment horizontal="center"/>
    </xf>
    <xf numFmtId="0" fontId="2" fillId="0" borderId="72" xfId="0" applyFont="1" applyBorder="1" applyAlignment="1">
      <alignment wrapText="1"/>
    </xf>
    <xf numFmtId="0" fontId="469" fillId="0" borderId="48" xfId="0" applyFont="1" applyBorder="1" applyAlignment="1">
      <alignment horizontal="center"/>
    </xf>
    <xf numFmtId="0" fontId="606" fillId="0" borderId="41" xfId="0" applyFont="1" applyBorder="1"/>
    <xf numFmtId="0" fontId="607" fillId="0" borderId="41" xfId="0" applyFont="1" applyBorder="1"/>
    <xf numFmtId="14" fontId="608" fillId="0" borderId="72" xfId="0" applyNumberFormat="1" applyFont="1" applyBorder="1" applyAlignment="1">
      <alignment horizontal="center"/>
    </xf>
    <xf numFmtId="0" fontId="469" fillId="0" borderId="108" xfId="0" applyFont="1" applyBorder="1" applyAlignment="1">
      <alignment horizontal="center"/>
    </xf>
    <xf numFmtId="49" fontId="469" fillId="0" borderId="0" xfId="0" applyNumberFormat="1" applyFont="1" applyBorder="1" applyAlignment="1">
      <alignment horizontal="center"/>
    </xf>
    <xf numFmtId="0" fontId="607" fillId="0" borderId="0" xfId="0" applyFont="1" applyBorder="1" applyAlignment="1">
      <alignment horizontal="center"/>
    </xf>
    <xf numFmtId="229" fontId="469" fillId="0" borderId="73" xfId="0" applyNumberFormat="1" applyFont="1" applyBorder="1" applyAlignment="1">
      <alignment horizontal="center"/>
    </xf>
    <xf numFmtId="166" fontId="609" fillId="0" borderId="108" xfId="0" applyNumberFormat="1" applyFont="1" applyBorder="1" applyAlignment="1">
      <alignment vertical="center"/>
    </xf>
    <xf numFmtId="166" fontId="469" fillId="0" borderId="0" xfId="0" applyNumberFormat="1" applyFont="1" applyBorder="1" applyAlignment="1">
      <alignment vertical="center"/>
    </xf>
    <xf numFmtId="0" fontId="469" fillId="0" borderId="0" xfId="0" applyFont="1" applyBorder="1"/>
    <xf numFmtId="0" fontId="469" fillId="0" borderId="73" xfId="0" applyFont="1" applyBorder="1"/>
    <xf numFmtId="0" fontId="469" fillId="0" borderId="108" xfId="0" applyFont="1" applyBorder="1" applyAlignment="1">
      <alignment horizontal="center" vertical="center"/>
    </xf>
    <xf numFmtId="0" fontId="469" fillId="0" borderId="0" xfId="0" applyFont="1" applyBorder="1" applyAlignment="1">
      <alignment horizontal="center"/>
    </xf>
    <xf numFmtId="0" fontId="469" fillId="0" borderId="0" xfId="4" applyFont="1" applyBorder="1" applyAlignment="1" applyProtection="1"/>
    <xf numFmtId="49" fontId="2" fillId="0" borderId="0" xfId="0" applyNumberFormat="1" applyFont="1" applyBorder="1" applyAlignment="1">
      <alignment horizontal="center"/>
    </xf>
    <xf numFmtId="0" fontId="2" fillId="0" borderId="73" xfId="0" applyFont="1" applyBorder="1"/>
    <xf numFmtId="230" fontId="2" fillId="0" borderId="0" xfId="0" applyNumberFormat="1" applyFont="1" applyBorder="1" applyAlignment="1">
      <alignment horizontal="center"/>
    </xf>
    <xf numFmtId="0" fontId="0" fillId="0" borderId="0" xfId="0" applyFill="1" applyBorder="1" applyAlignment="1">
      <alignment vertical="center"/>
    </xf>
    <xf numFmtId="0" fontId="13" fillId="0" borderId="0" xfId="0" applyFont="1" applyAlignment="1">
      <alignment horizontal="center" vertical="center"/>
    </xf>
    <xf numFmtId="223" fontId="0" fillId="0" borderId="0" xfId="0" applyNumberFormat="1" applyFill="1" applyBorder="1" applyAlignment="1">
      <alignment horizontal="center" vertical="center"/>
    </xf>
    <xf numFmtId="41" fontId="0" fillId="0" borderId="0" xfId="0" applyNumberFormat="1" applyFill="1" applyBorder="1" applyAlignment="1">
      <alignment vertical="center"/>
    </xf>
    <xf numFmtId="0" fontId="2" fillId="0" borderId="0" xfId="0" applyFont="1" applyAlignment="1">
      <alignment horizontal="center" vertical="center"/>
    </xf>
    <xf numFmtId="41" fontId="2" fillId="0" borderId="0" xfId="0" applyNumberFormat="1" applyFont="1" applyFill="1" applyBorder="1" applyAlignment="1">
      <alignment vertical="center"/>
    </xf>
    <xf numFmtId="223" fontId="2" fillId="0" borderId="0" xfId="0" applyNumberFormat="1" applyFont="1" applyFill="1" applyBorder="1" applyAlignment="1">
      <alignment horizontal="center" vertical="center"/>
    </xf>
    <xf numFmtId="166" fontId="457" fillId="0" borderId="0" xfId="5" applyFont="1" applyAlignment="1">
      <alignment vertical="center"/>
    </xf>
    <xf numFmtId="43" fontId="0" fillId="0" borderId="0" xfId="0" applyNumberFormat="1" applyFill="1" applyBorder="1" applyAlignment="1">
      <alignment horizontal="center" vertical="center"/>
    </xf>
    <xf numFmtId="0" fontId="610" fillId="19" borderId="28" xfId="9" applyNumberFormat="1" applyFont="1" applyFill="1" applyBorder="1" applyAlignment="1">
      <alignment horizontal="center"/>
    </xf>
    <xf numFmtId="0" fontId="499" fillId="0" borderId="0" xfId="0" applyFont="1" applyFill="1" applyBorder="1" applyAlignment="1">
      <alignment vertical="center"/>
    </xf>
    <xf numFmtId="228" fontId="10" fillId="0" borderId="11" xfId="0" applyNumberFormat="1" applyFont="1" applyBorder="1" applyAlignment="1">
      <alignment horizontal="center"/>
    </xf>
    <xf numFmtId="181" fontId="2" fillId="0" borderId="0" xfId="0" applyNumberFormat="1" applyFont="1" applyAlignment="1">
      <alignment vertical="center"/>
    </xf>
    <xf numFmtId="223" fontId="499" fillId="0" borderId="0" xfId="0" applyNumberFormat="1" applyFont="1" applyFill="1" applyBorder="1" applyAlignment="1">
      <alignment horizontal="center" vertical="center"/>
    </xf>
    <xf numFmtId="0" fontId="544" fillId="0" borderId="0" xfId="0" applyFont="1" applyFill="1" applyBorder="1" applyAlignment="1">
      <alignment vertical="center"/>
    </xf>
    <xf numFmtId="0" fontId="613" fillId="0" borderId="0" xfId="0" applyFont="1"/>
    <xf numFmtId="0" fontId="526" fillId="0" borderId="0" xfId="0" applyFont="1" applyFill="1" applyBorder="1" applyAlignment="1">
      <alignment horizontal="center" vertical="center"/>
    </xf>
    <xf numFmtId="0" fontId="526" fillId="0" borderId="0" xfId="0" applyFont="1" applyFill="1" applyBorder="1" applyAlignment="1">
      <alignment vertical="center"/>
    </xf>
    <xf numFmtId="0" fontId="7" fillId="0" borderId="0" xfId="0" applyFont="1" applyFill="1" applyBorder="1" applyAlignment="1">
      <alignment vertical="center"/>
    </xf>
    <xf numFmtId="0" fontId="384" fillId="0" borderId="42" xfId="0" applyFont="1" applyFill="1" applyBorder="1" applyAlignment="1">
      <alignment vertical="center"/>
    </xf>
    <xf numFmtId="0" fontId="384" fillId="0" borderId="119" xfId="0" applyFont="1" applyFill="1" applyBorder="1" applyAlignment="1">
      <alignment vertical="center"/>
    </xf>
    <xf numFmtId="0" fontId="384" fillId="0" borderId="42" xfId="0" applyFont="1" applyFill="1" applyBorder="1" applyAlignment="1">
      <alignment horizontal="left" vertical="center"/>
    </xf>
    <xf numFmtId="0" fontId="384" fillId="0" borderId="119" xfId="0" applyFont="1" applyFill="1" applyBorder="1" applyAlignment="1">
      <alignment horizontal="left" vertical="center"/>
    </xf>
    <xf numFmtId="0" fontId="384" fillId="0" borderId="137" xfId="0" applyFont="1" applyFill="1" applyBorder="1" applyAlignment="1">
      <alignment vertical="center"/>
    </xf>
    <xf numFmtId="0" fontId="384" fillId="0" borderId="43" xfId="0" applyFont="1" applyFill="1" applyBorder="1" applyAlignment="1">
      <alignment vertical="center"/>
    </xf>
    <xf numFmtId="0" fontId="440" fillId="0" borderId="55" xfId="0" applyFont="1" applyFill="1" applyBorder="1" applyAlignment="1">
      <alignment horizontal="center" vertical="center"/>
    </xf>
    <xf numFmtId="0" fontId="440" fillId="0" borderId="44" xfId="0" applyFont="1" applyFill="1" applyBorder="1" applyAlignment="1">
      <alignment horizontal="center" vertical="center"/>
    </xf>
    <xf numFmtId="0" fontId="52" fillId="0" borderId="101" xfId="0" applyFont="1" applyBorder="1" applyAlignment="1">
      <alignment horizontal="left" indent="1"/>
    </xf>
    <xf numFmtId="0" fontId="13" fillId="6" borderId="38" xfId="0" applyFont="1" applyFill="1" applyBorder="1" applyAlignment="1">
      <alignment horizontal="center" vertical="center"/>
    </xf>
    <xf numFmtId="0" fontId="7" fillId="6" borderId="38" xfId="0" applyFont="1" applyFill="1" applyBorder="1" applyAlignment="1">
      <alignment horizontal="center" vertical="center"/>
    </xf>
    <xf numFmtId="0" fontId="7" fillId="24" borderId="38" xfId="0" applyFont="1" applyFill="1" applyBorder="1" applyAlignment="1">
      <alignment horizontal="center" vertical="center"/>
    </xf>
    <xf numFmtId="0" fontId="2" fillId="17" borderId="38" xfId="0" applyFont="1" applyFill="1" applyBorder="1" applyAlignment="1">
      <alignment horizontal="center" vertical="center"/>
    </xf>
    <xf numFmtId="0" fontId="52" fillId="0" borderId="107" xfId="0" applyFont="1" applyFill="1" applyBorder="1" applyAlignment="1">
      <alignment horizontal="left" indent="1"/>
    </xf>
    <xf numFmtId="0" fontId="13" fillId="6" borderId="108" xfId="0" applyFont="1" applyFill="1" applyBorder="1" applyAlignment="1">
      <alignment horizontal="center" vertical="center"/>
    </xf>
    <xf numFmtId="0" fontId="13" fillId="6" borderId="73" xfId="0" applyFont="1" applyFill="1" applyBorder="1" applyAlignment="1">
      <alignment horizontal="center" vertical="center"/>
    </xf>
    <xf numFmtId="0" fontId="116" fillId="22" borderId="108" xfId="0" applyFont="1" applyFill="1" applyBorder="1" applyAlignment="1">
      <alignment horizontal="center" vertical="center"/>
    </xf>
    <xf numFmtId="0" fontId="116" fillId="6" borderId="108" xfId="0" applyFont="1" applyFill="1" applyBorder="1" applyAlignment="1">
      <alignment horizontal="center" vertical="center"/>
    </xf>
    <xf numFmtId="0" fontId="470" fillId="27" borderId="73" xfId="0" applyFont="1" applyFill="1" applyBorder="1" applyAlignment="1">
      <alignment horizontal="center" vertical="center"/>
    </xf>
    <xf numFmtId="0" fontId="385" fillId="0" borderId="108" xfId="0" applyFont="1" applyFill="1" applyBorder="1" applyAlignment="1">
      <alignment horizontal="center" vertical="center"/>
    </xf>
    <xf numFmtId="0" fontId="552" fillId="26" borderId="73" xfId="0" applyFont="1" applyFill="1" applyBorder="1" applyAlignment="1">
      <alignment horizontal="center" vertical="center"/>
    </xf>
    <xf numFmtId="0" fontId="429" fillId="0" borderId="108" xfId="0" applyFont="1" applyFill="1" applyBorder="1" applyAlignment="1">
      <alignment horizontal="center" vertical="center"/>
    </xf>
    <xf numFmtId="0" fontId="450" fillId="25" borderId="108" xfId="0" applyFont="1" applyFill="1" applyBorder="1"/>
    <xf numFmtId="0" fontId="2" fillId="6" borderId="73" xfId="0" applyFont="1" applyFill="1" applyBorder="1" applyAlignment="1">
      <alignment horizontal="center" vertical="center"/>
    </xf>
    <xf numFmtId="0" fontId="456" fillId="6" borderId="108" xfId="0" applyFont="1" applyFill="1" applyBorder="1" applyAlignment="1">
      <alignment horizontal="center" vertical="center"/>
    </xf>
    <xf numFmtId="0" fontId="13" fillId="17" borderId="73" xfId="0" applyFont="1" applyFill="1" applyBorder="1" applyAlignment="1">
      <alignment horizontal="center" vertical="center"/>
    </xf>
    <xf numFmtId="0" fontId="13" fillId="6" borderId="52" xfId="0" applyFont="1" applyFill="1" applyBorder="1" applyAlignment="1">
      <alignment horizontal="center" vertical="center"/>
    </xf>
    <xf numFmtId="0" fontId="116" fillId="0" borderId="60" xfId="0" applyFont="1" applyBorder="1"/>
    <xf numFmtId="0" fontId="457" fillId="6" borderId="108" xfId="0" applyFont="1" applyFill="1" applyBorder="1" applyAlignment="1">
      <alignment horizontal="center" vertical="center"/>
    </xf>
    <xf numFmtId="204" fontId="18" fillId="0" borderId="0" xfId="0" applyNumberFormat="1" applyFont="1" applyBorder="1" applyAlignment="1">
      <alignment horizontal="center" vertical="center"/>
    </xf>
    <xf numFmtId="0" fontId="360" fillId="35" borderId="108" xfId="0" applyFont="1" applyFill="1" applyBorder="1" applyAlignment="1">
      <alignment horizontal="center"/>
    </xf>
    <xf numFmtId="0" fontId="620" fillId="17" borderId="0" xfId="0" applyFont="1" applyFill="1" applyBorder="1" applyAlignment="1">
      <alignment horizontal="center"/>
    </xf>
    <xf numFmtId="220" fontId="0" fillId="0" borderId="73" xfId="0" applyNumberFormat="1" applyBorder="1" applyAlignment="1">
      <alignment horizontal="center"/>
    </xf>
    <xf numFmtId="49" fontId="466" fillId="0" borderId="119" xfId="0" applyNumberFormat="1" applyFont="1" applyBorder="1" applyAlignment="1">
      <alignment horizontal="center"/>
    </xf>
    <xf numFmtId="0" fontId="466" fillId="0" borderId="44" xfId="0" applyFont="1" applyBorder="1" applyAlignment="1">
      <alignment horizontal="center"/>
    </xf>
    <xf numFmtId="0" fontId="2" fillId="0" borderId="0" xfId="4" applyFont="1" applyBorder="1" applyAlignment="1" applyProtection="1">
      <alignment vertical="center"/>
    </xf>
    <xf numFmtId="0" fontId="598" fillId="36" borderId="48" xfId="0" applyFont="1" applyFill="1" applyBorder="1" applyAlignment="1">
      <alignment horizontal="center"/>
    </xf>
    <xf numFmtId="0" fontId="621" fillId="36" borderId="41" xfId="0" applyFont="1" applyFill="1" applyBorder="1"/>
    <xf numFmtId="0" fontId="610" fillId="36" borderId="41" xfId="0" applyFont="1" applyFill="1" applyBorder="1"/>
    <xf numFmtId="14" fontId="622" fillId="36" borderId="72" xfId="0" applyNumberFormat="1" applyFont="1" applyFill="1" applyBorder="1" applyAlignment="1">
      <alignment horizontal="center"/>
    </xf>
    <xf numFmtId="0" fontId="598" fillId="36" borderId="108" xfId="0" applyFont="1" applyFill="1" applyBorder="1" applyAlignment="1">
      <alignment horizontal="center"/>
    </xf>
    <xf numFmtId="49" fontId="598" fillId="36" borderId="0" xfId="0" applyNumberFormat="1" applyFont="1" applyFill="1" applyBorder="1" applyAlignment="1">
      <alignment horizontal="center"/>
    </xf>
    <xf numFmtId="0" fontId="622" fillId="36" borderId="0" xfId="0" applyFont="1" applyFill="1" applyBorder="1" applyAlignment="1">
      <alignment horizontal="center"/>
    </xf>
    <xf numFmtId="229" fontId="598" fillId="36" borderId="73" xfId="0" applyNumberFormat="1" applyFont="1" applyFill="1" applyBorder="1" applyAlignment="1">
      <alignment horizontal="center"/>
    </xf>
    <xf numFmtId="166" fontId="623" fillId="36" borderId="108" xfId="0" applyNumberFormat="1" applyFont="1" applyFill="1" applyBorder="1" applyAlignment="1">
      <alignment vertical="center"/>
    </xf>
    <xf numFmtId="166" fontId="598" fillId="36" borderId="0" xfId="0" applyNumberFormat="1" applyFont="1" applyFill="1" applyBorder="1" applyAlignment="1">
      <alignment vertical="center"/>
    </xf>
    <xf numFmtId="0" fontId="598" fillId="36" borderId="0" xfId="0" applyFont="1" applyFill="1" applyBorder="1"/>
    <xf numFmtId="0" fontId="598" fillId="36" borderId="73" xfId="0" applyFont="1" applyFill="1" applyBorder="1"/>
    <xf numFmtId="0" fontId="598" fillId="36" borderId="108" xfId="0" applyFont="1" applyFill="1" applyBorder="1" applyAlignment="1">
      <alignment horizontal="center" vertical="center"/>
    </xf>
    <xf numFmtId="230" fontId="598" fillId="36" borderId="0" xfId="0" applyNumberFormat="1" applyFont="1" applyFill="1" applyBorder="1" applyAlignment="1">
      <alignment horizontal="center"/>
    </xf>
    <xf numFmtId="0" fontId="598" fillId="36" borderId="0" xfId="4" applyFont="1" applyFill="1" applyBorder="1" applyAlignment="1" applyProtection="1"/>
    <xf numFmtId="0" fontId="622" fillId="36" borderId="42" xfId="0" applyFont="1" applyFill="1" applyBorder="1" applyAlignment="1">
      <alignment horizontal="center"/>
    </xf>
    <xf numFmtId="49" fontId="622" fillId="36" borderId="22" xfId="0" applyNumberFormat="1" applyFont="1" applyFill="1" applyBorder="1" applyAlignment="1">
      <alignment horizontal="center"/>
    </xf>
    <xf numFmtId="0" fontId="622" fillId="36" borderId="30" xfId="0" applyFont="1" applyFill="1" applyBorder="1" applyAlignment="1">
      <alignment horizontal="center"/>
    </xf>
    <xf numFmtId="49" fontId="622" fillId="36" borderId="119" xfId="0" applyNumberFormat="1" applyFont="1" applyFill="1" applyBorder="1" applyAlignment="1">
      <alignment horizontal="center"/>
    </xf>
    <xf numFmtId="0" fontId="622" fillId="36" borderId="55" xfId="0" applyFont="1" applyFill="1" applyBorder="1" applyAlignment="1">
      <alignment horizontal="center"/>
    </xf>
    <xf numFmtId="49" fontId="622" fillId="36" borderId="24" xfId="0" applyNumberFormat="1" applyFont="1" applyFill="1" applyBorder="1" applyAlignment="1">
      <alignment horizontal="center"/>
    </xf>
    <xf numFmtId="0" fontId="622" fillId="36" borderId="34" xfId="0" applyFont="1" applyFill="1" applyBorder="1" applyAlignment="1">
      <alignment horizontal="center"/>
    </xf>
    <xf numFmtId="0" fontId="622" fillId="36" borderId="44" xfId="0" applyFont="1" applyFill="1" applyBorder="1" applyAlignment="1">
      <alignment horizontal="center"/>
    </xf>
    <xf numFmtId="0" fontId="610" fillId="36" borderId="0" xfId="0" applyFont="1" applyFill="1" applyBorder="1" applyAlignment="1">
      <alignment horizontal="center"/>
    </xf>
    <xf numFmtId="0" fontId="621" fillId="36" borderId="0" xfId="0" applyFont="1" applyFill="1" applyBorder="1"/>
    <xf numFmtId="0" fontId="610" fillId="36" borderId="0" xfId="0" applyFont="1" applyFill="1" applyBorder="1"/>
    <xf numFmtId="14" fontId="622" fillId="36" borderId="73" xfId="0" applyNumberFormat="1" applyFont="1" applyFill="1" applyBorder="1" applyAlignment="1">
      <alignment horizontal="center"/>
    </xf>
    <xf numFmtId="0" fontId="624" fillId="0" borderId="163" xfId="0" applyFont="1" applyBorder="1" applyAlignment="1">
      <alignment horizontal="center" vertical="center"/>
    </xf>
    <xf numFmtId="41" fontId="0" fillId="0" borderId="163" xfId="0" applyNumberFormat="1" applyFill="1" applyBorder="1"/>
    <xf numFmtId="41" fontId="0" fillId="0" borderId="5" xfId="0" applyNumberFormat="1" applyFill="1" applyBorder="1"/>
    <xf numFmtId="14" fontId="461" fillId="0" borderId="3" xfId="0" applyNumberFormat="1" applyFont="1" applyFill="1" applyBorder="1" applyAlignment="1">
      <alignment horizontal="center" vertical="center" shrinkToFit="1"/>
    </xf>
    <xf numFmtId="14" fontId="521" fillId="0" borderId="19" xfId="0" applyNumberFormat="1" applyFont="1" applyFill="1" applyBorder="1" applyAlignment="1">
      <alignment horizontal="center"/>
    </xf>
    <xf numFmtId="14" fontId="461" fillId="0" borderId="86" xfId="0" applyNumberFormat="1" applyFont="1" applyFill="1" applyBorder="1" applyAlignment="1">
      <alignment horizontal="center" vertical="center" shrinkToFit="1"/>
    </xf>
    <xf numFmtId="14" fontId="521" fillId="0" borderId="29" xfId="0" applyNumberFormat="1" applyFont="1" applyFill="1" applyBorder="1" applyAlignment="1">
      <alignment horizontal="center"/>
    </xf>
    <xf numFmtId="41" fontId="0" fillId="0" borderId="161" xfId="0" applyNumberFormat="1" applyFill="1" applyBorder="1"/>
    <xf numFmtId="41" fontId="0" fillId="0" borderId="87" xfId="0" applyNumberFormat="1" applyFill="1" applyBorder="1"/>
    <xf numFmtId="0" fontId="625" fillId="0" borderId="0" xfId="0" applyFont="1"/>
    <xf numFmtId="0" fontId="360" fillId="24" borderId="108" xfId="0" applyFont="1" applyFill="1" applyBorder="1" applyAlignment="1">
      <alignment horizontal="center"/>
    </xf>
    <xf numFmtId="0" fontId="361" fillId="24" borderId="0" xfId="0" applyFont="1" applyFill="1" applyBorder="1" applyAlignment="1">
      <alignment horizontal="center"/>
    </xf>
    <xf numFmtId="0" fontId="361" fillId="24" borderId="0" xfId="0" applyFont="1" applyFill="1" applyBorder="1" applyAlignment="1">
      <alignment horizontal="center" vertical="center"/>
    </xf>
    <xf numFmtId="0" fontId="4" fillId="0" borderId="41" xfId="0" applyFont="1" applyBorder="1"/>
    <xf numFmtId="0" fontId="2" fillId="37" borderId="48" xfId="0" applyFont="1" applyFill="1" applyBorder="1" applyAlignment="1">
      <alignment horizontal="center"/>
    </xf>
    <xf numFmtId="0" fontId="75" fillId="37" borderId="41" xfId="0" applyFont="1" applyFill="1" applyBorder="1"/>
    <xf numFmtId="0" fontId="10" fillId="37" borderId="41" xfId="0" applyFont="1" applyFill="1" applyBorder="1"/>
    <xf numFmtId="14" fontId="4" fillId="37" borderId="72" xfId="0" applyNumberFormat="1" applyFont="1" applyFill="1" applyBorder="1" applyAlignment="1">
      <alignment horizontal="center"/>
    </xf>
    <xf numFmtId="0" fontId="2" fillId="37" borderId="108" xfId="0" applyFont="1" applyFill="1" applyBorder="1" applyAlignment="1">
      <alignment horizontal="center"/>
    </xf>
    <xf numFmtId="49" fontId="601" fillId="37" borderId="0" xfId="0" applyNumberFormat="1" applyFont="1" applyFill="1" applyBorder="1" applyAlignment="1">
      <alignment horizontal="center"/>
    </xf>
    <xf numFmtId="0" fontId="10" fillId="37" borderId="0" xfId="0" applyFont="1" applyFill="1" applyBorder="1" applyAlignment="1">
      <alignment horizontal="center"/>
    </xf>
    <xf numFmtId="220" fontId="0" fillId="37" borderId="73" xfId="0" applyNumberFormat="1" applyFill="1" applyBorder="1" applyAlignment="1">
      <alignment horizontal="center"/>
    </xf>
    <xf numFmtId="166" fontId="5" fillId="37" borderId="108" xfId="0" applyNumberFormat="1" applyFont="1" applyFill="1" applyBorder="1" applyAlignment="1">
      <alignment vertical="center"/>
    </xf>
    <xf numFmtId="166" fontId="2" fillId="37" borderId="0" xfId="0" applyNumberFormat="1" applyFont="1" applyFill="1" applyBorder="1" applyAlignment="1">
      <alignment vertical="center"/>
    </xf>
    <xf numFmtId="0" fontId="0" fillId="37" borderId="0" xfId="0" applyFill="1" applyBorder="1"/>
    <xf numFmtId="0" fontId="0" fillId="37" borderId="73" xfId="0" applyFill="1" applyBorder="1"/>
    <xf numFmtId="0" fontId="2" fillId="37" borderId="108" xfId="0" applyFont="1" applyFill="1" applyBorder="1" applyAlignment="1">
      <alignment horizontal="center" vertical="center"/>
    </xf>
    <xf numFmtId="230" fontId="0" fillId="37" borderId="0" xfId="0" applyNumberFormat="1" applyFill="1" applyBorder="1" applyAlignment="1">
      <alignment horizontal="center"/>
    </xf>
    <xf numFmtId="0" fontId="2" fillId="37" borderId="0" xfId="4" applyFont="1" applyFill="1" applyBorder="1" applyAlignment="1" applyProtection="1">
      <alignment vertical="center"/>
    </xf>
    <xf numFmtId="0" fontId="4" fillId="37" borderId="42" xfId="0" applyFont="1" applyFill="1" applyBorder="1" applyAlignment="1">
      <alignment horizontal="center"/>
    </xf>
    <xf numFmtId="49" fontId="4" fillId="37" borderId="22" xfId="0" applyNumberFormat="1" applyFont="1" applyFill="1" applyBorder="1" applyAlignment="1">
      <alignment horizontal="center"/>
    </xf>
    <xf numFmtId="0" fontId="4" fillId="37" borderId="30" xfId="0" applyFont="1" applyFill="1" applyBorder="1" applyAlignment="1">
      <alignment horizontal="center"/>
    </xf>
    <xf numFmtId="49" fontId="4" fillId="37" borderId="119" xfId="0" applyNumberFormat="1" applyFont="1" applyFill="1" applyBorder="1" applyAlignment="1">
      <alignment horizontal="center"/>
    </xf>
    <xf numFmtId="0" fontId="4" fillId="37" borderId="55" xfId="0" applyFont="1" applyFill="1" applyBorder="1" applyAlignment="1">
      <alignment horizontal="center"/>
    </xf>
    <xf numFmtId="49" fontId="4" fillId="37" borderId="24" xfId="0" applyNumberFormat="1" applyFont="1" applyFill="1" applyBorder="1" applyAlignment="1">
      <alignment horizontal="center"/>
    </xf>
    <xf numFmtId="0" fontId="4" fillId="37" borderId="34" xfId="0" applyFont="1" applyFill="1" applyBorder="1" applyAlignment="1">
      <alignment horizontal="center"/>
    </xf>
    <xf numFmtId="0" fontId="4" fillId="37" borderId="44" xfId="0" applyFont="1" applyFill="1" applyBorder="1" applyAlignment="1">
      <alignment horizontal="center"/>
    </xf>
    <xf numFmtId="49" fontId="2" fillId="37" borderId="0" xfId="0" applyNumberFormat="1" applyFont="1" applyFill="1" applyBorder="1" applyAlignment="1">
      <alignment horizontal="center"/>
    </xf>
    <xf numFmtId="0" fontId="4" fillId="37" borderId="0" xfId="0" applyFont="1" applyFill="1" applyBorder="1" applyAlignment="1">
      <alignment horizontal="center"/>
    </xf>
    <xf numFmtId="0" fontId="2" fillId="37" borderId="0" xfId="0" applyFont="1" applyFill="1" applyBorder="1"/>
    <xf numFmtId="0" fontId="2" fillId="37" borderId="73" xfId="0" applyFont="1" applyFill="1" applyBorder="1"/>
    <xf numFmtId="230" fontId="2" fillId="37" borderId="0" xfId="0" applyNumberFormat="1" applyFont="1" applyFill="1" applyBorder="1" applyAlignment="1">
      <alignment horizontal="center"/>
    </xf>
    <xf numFmtId="49" fontId="466" fillId="37" borderId="119" xfId="0" applyNumberFormat="1" applyFont="1" applyFill="1" applyBorder="1" applyAlignment="1">
      <alignment horizontal="center"/>
    </xf>
    <xf numFmtId="0" fontId="466" fillId="37" borderId="44" xfId="0" applyFont="1" applyFill="1" applyBorder="1" applyAlignment="1">
      <alignment horizontal="center"/>
    </xf>
    <xf numFmtId="8" fontId="0" fillId="0" borderId="0" xfId="0" applyNumberFormat="1"/>
    <xf numFmtId="0" fontId="617" fillId="0" borderId="0" xfId="0" applyFont="1" applyAlignment="1">
      <alignment horizontal="center" wrapText="1" shrinkToFit="1"/>
    </xf>
    <xf numFmtId="214" fontId="627" fillId="0" borderId="0" xfId="0" applyNumberFormat="1" applyFont="1"/>
    <xf numFmtId="0" fontId="628" fillId="0" borderId="0" xfId="0" applyFont="1" applyAlignment="1">
      <alignment vertical="center"/>
    </xf>
    <xf numFmtId="0" fontId="14" fillId="0" borderId="30" xfId="0" applyFont="1" applyBorder="1" applyAlignment="1">
      <alignment horizontal="center" vertical="center"/>
    </xf>
    <xf numFmtId="0" fontId="14" fillId="0" borderId="22" xfId="0" applyFont="1" applyBorder="1" applyAlignment="1">
      <alignment horizontal="center" vertical="center"/>
    </xf>
    <xf numFmtId="0" fontId="5" fillId="31" borderId="0" xfId="0" applyFont="1" applyFill="1" applyBorder="1"/>
    <xf numFmtId="0" fontId="10" fillId="31" borderId="0" xfId="0" applyFont="1" applyFill="1" applyBorder="1"/>
    <xf numFmtId="14" fontId="4" fillId="31" borderId="73" xfId="0" applyNumberFormat="1" applyFont="1" applyFill="1" applyBorder="1" applyAlignment="1">
      <alignment horizontal="center"/>
    </xf>
    <xf numFmtId="231" fontId="2" fillId="0" borderId="0" xfId="0" applyNumberFormat="1" applyFont="1" applyAlignment="1">
      <alignment horizontal="center"/>
    </xf>
    <xf numFmtId="0" fontId="269" fillId="0" borderId="0" xfId="0" applyFont="1"/>
    <xf numFmtId="14" fontId="0" fillId="0" borderId="0" xfId="0" applyNumberFormat="1" applyFill="1" applyBorder="1" applyAlignment="1">
      <alignment horizontal="center"/>
    </xf>
    <xf numFmtId="0" fontId="0" fillId="0" borderId="1" xfId="0" applyBorder="1" applyAlignment="1">
      <alignment horizontal="left" vertical="center"/>
    </xf>
    <xf numFmtId="0" fontId="17" fillId="0" borderId="1" xfId="0" applyFont="1" applyBorder="1" applyAlignment="1">
      <alignment horizontal="center" vertical="center"/>
    </xf>
    <xf numFmtId="49" fontId="549" fillId="0" borderId="164" xfId="0" applyNumberFormat="1" applyFont="1" applyBorder="1" applyAlignment="1">
      <alignment vertical="top" wrapText="1" shrinkToFit="1"/>
    </xf>
    <xf numFmtId="49" fontId="549" fillId="0" borderId="11" xfId="0" applyNumberFormat="1" applyFont="1" applyBorder="1" applyAlignment="1">
      <alignment vertical="top" wrapText="1" shrinkToFit="1"/>
    </xf>
    <xf numFmtId="49" fontId="549" fillId="0" borderId="19" xfId="0" applyNumberFormat="1" applyFont="1" applyBorder="1" applyAlignment="1">
      <alignment vertical="top" wrapText="1" shrinkToFit="1"/>
    </xf>
    <xf numFmtId="217" fontId="482" fillId="0" borderId="0" xfId="0" applyNumberFormat="1" applyFont="1" applyAlignment="1">
      <alignment horizontal="center"/>
    </xf>
    <xf numFmtId="0" fontId="484" fillId="0" borderId="0" xfId="0" applyFont="1" applyAlignment="1">
      <alignment horizontal="center" vertical="center" wrapText="1" shrinkToFit="1"/>
    </xf>
    <xf numFmtId="0" fontId="22" fillId="0" borderId="137" xfId="0" applyFont="1" applyBorder="1" applyAlignment="1">
      <alignment horizontal="center" textRotation="60"/>
    </xf>
    <xf numFmtId="0" fontId="22" fillId="0" borderId="53" xfId="0" applyFont="1" applyBorder="1" applyAlignment="1">
      <alignment horizontal="center" textRotation="60"/>
    </xf>
    <xf numFmtId="0" fontId="22" fillId="0" borderId="42" xfId="0" applyFont="1" applyBorder="1" applyAlignment="1">
      <alignment horizontal="center" textRotation="60"/>
    </xf>
    <xf numFmtId="0" fontId="22" fillId="0" borderId="55" xfId="0" applyFont="1" applyBorder="1" applyAlignment="1">
      <alignment horizontal="center" textRotation="60"/>
    </xf>
    <xf numFmtId="0" fontId="10" fillId="0" borderId="167" xfId="0" applyFont="1" applyBorder="1" applyAlignment="1">
      <alignment horizontal="center" vertical="center" wrapText="1" shrinkToFit="1"/>
    </xf>
    <xf numFmtId="0" fontId="10" fillId="0" borderId="168" xfId="0" applyFont="1" applyBorder="1" applyAlignment="1">
      <alignment horizontal="center" vertical="center" wrapText="1" shrinkToFit="1"/>
    </xf>
    <xf numFmtId="0" fontId="10" fillId="0" borderId="28" xfId="0" applyFont="1" applyBorder="1" applyAlignment="1">
      <alignment horizontal="center" vertical="center" wrapText="1" shrinkToFit="1"/>
    </xf>
    <xf numFmtId="0" fontId="10" fillId="0" borderId="18" xfId="0" applyFont="1" applyBorder="1" applyAlignment="1">
      <alignment horizontal="center" vertical="center" wrapText="1" shrinkToFit="1"/>
    </xf>
    <xf numFmtId="0" fontId="14" fillId="0" borderId="30" xfId="0" applyFont="1" applyBorder="1" applyAlignment="1">
      <alignment horizontal="center" vertical="center"/>
    </xf>
    <xf numFmtId="0" fontId="14" fillId="0" borderId="22" xfId="0" applyFont="1" applyBorder="1" applyAlignment="1">
      <alignment horizontal="center" vertical="center"/>
    </xf>
    <xf numFmtId="207" fontId="458" fillId="5" borderId="107" xfId="0" applyNumberFormat="1" applyFont="1" applyFill="1" applyBorder="1" applyAlignment="1">
      <alignment horizontal="left" vertical="center" indent="7"/>
    </xf>
    <xf numFmtId="207" fontId="458" fillId="5" borderId="46" xfId="0" applyNumberFormat="1" applyFont="1" applyFill="1" applyBorder="1" applyAlignment="1">
      <alignment horizontal="left" vertical="center" indent="7"/>
    </xf>
    <xf numFmtId="207" fontId="458" fillId="5" borderId="45" xfId="0" applyNumberFormat="1" applyFont="1" applyFill="1" applyBorder="1" applyAlignment="1">
      <alignment horizontal="left" vertical="center" indent="7"/>
    </xf>
    <xf numFmtId="0" fontId="466" fillId="0" borderId="48" xfId="0" applyFont="1" applyBorder="1" applyAlignment="1">
      <alignment horizontal="center" wrapText="1" shrinkToFit="1"/>
    </xf>
    <xf numFmtId="0" fontId="466" fillId="0" borderId="41" xfId="0" applyFont="1" applyBorder="1" applyAlignment="1">
      <alignment horizontal="center" wrapText="1" shrinkToFit="1"/>
    </xf>
    <xf numFmtId="0" fontId="466" fillId="0" borderId="72" xfId="0" applyFont="1" applyBorder="1" applyAlignment="1">
      <alignment horizontal="center" wrapText="1" shrinkToFit="1"/>
    </xf>
    <xf numFmtId="0" fontId="466" fillId="0" borderId="52" xfId="0" applyFont="1" applyBorder="1" applyAlignment="1">
      <alignment horizontal="center" wrapText="1" shrinkToFit="1"/>
    </xf>
    <xf numFmtId="0" fontId="466" fillId="0" borderId="62" xfId="0" applyFont="1" applyBorder="1" applyAlignment="1">
      <alignment horizontal="center" wrapText="1" shrinkToFit="1"/>
    </xf>
    <xf numFmtId="0" fontId="466" fillId="0" borderId="60" xfId="0" applyFont="1" applyBorder="1" applyAlignment="1">
      <alignment horizontal="center" wrapText="1" shrinkToFit="1"/>
    </xf>
    <xf numFmtId="49" fontId="2" fillId="0" borderId="0" xfId="9" applyNumberFormat="1" applyFont="1" applyFill="1" applyBorder="1" applyAlignment="1">
      <alignment horizontal="center"/>
    </xf>
    <xf numFmtId="0" fontId="52" fillId="0" borderId="107" xfId="0" applyFont="1" applyFill="1" applyBorder="1" applyAlignment="1">
      <alignment horizontal="center"/>
    </xf>
    <xf numFmtId="0" fontId="52" fillId="0" borderId="45" xfId="0" applyFont="1" applyFill="1" applyBorder="1" applyAlignment="1">
      <alignment horizontal="center"/>
    </xf>
    <xf numFmtId="0" fontId="360" fillId="0" borderId="42" xfId="0" applyFont="1" applyFill="1" applyBorder="1" applyAlignment="1">
      <alignment horizontal="center" vertical="center"/>
    </xf>
    <xf numFmtId="0" fontId="360" fillId="0" borderId="22" xfId="0" applyFont="1" applyFill="1" applyBorder="1" applyAlignment="1">
      <alignment horizontal="center" vertical="center"/>
    </xf>
    <xf numFmtId="0" fontId="388" fillId="0" borderId="55" xfId="0" applyFont="1" applyBorder="1" applyAlignment="1">
      <alignment horizontal="center"/>
    </xf>
    <xf numFmtId="0" fontId="388" fillId="0" borderId="24" xfId="0" applyFont="1" applyBorder="1" applyAlignment="1">
      <alignment horizontal="center"/>
    </xf>
    <xf numFmtId="0" fontId="388" fillId="0" borderId="42" xfId="0" applyFont="1" applyBorder="1" applyAlignment="1">
      <alignment horizontal="center"/>
    </xf>
    <xf numFmtId="0" fontId="388" fillId="0" borderId="22" xfId="0" applyFont="1" applyBorder="1" applyAlignment="1">
      <alignment horizontal="center"/>
    </xf>
    <xf numFmtId="0" fontId="52" fillId="0" borderId="107" xfId="0" applyFont="1" applyBorder="1" applyAlignment="1">
      <alignment horizontal="center"/>
    </xf>
    <xf numFmtId="0" fontId="52" fillId="0" borderId="45" xfId="0" applyFont="1" applyBorder="1" applyAlignment="1">
      <alignment horizontal="center"/>
    </xf>
    <xf numFmtId="0" fontId="360" fillId="0" borderId="42" xfId="0" applyFont="1" applyBorder="1" applyAlignment="1">
      <alignment horizontal="center"/>
    </xf>
    <xf numFmtId="0" fontId="360" fillId="0" borderId="22" xfId="0" applyFont="1" applyBorder="1" applyAlignment="1">
      <alignment horizontal="center"/>
    </xf>
    <xf numFmtId="0" fontId="52" fillId="0" borderId="46" xfId="0" applyFont="1" applyFill="1" applyBorder="1" applyAlignment="1">
      <alignment horizontal="center"/>
    </xf>
    <xf numFmtId="0" fontId="360" fillId="0" borderId="8" xfId="0" applyFont="1" applyBorder="1" applyAlignment="1">
      <alignment horizontal="center" vertical="center"/>
    </xf>
    <xf numFmtId="0" fontId="360" fillId="0" borderId="1" xfId="0" applyFont="1" applyBorder="1" applyAlignment="1">
      <alignment horizontal="center" vertical="center"/>
    </xf>
    <xf numFmtId="165" fontId="0" fillId="0" borderId="1" xfId="0" applyNumberFormat="1" applyBorder="1" applyAlignment="1"/>
    <xf numFmtId="0" fontId="359" fillId="0" borderId="107" xfId="0" applyFont="1" applyBorder="1" applyAlignment="1">
      <alignment horizontal="center" vertical="center"/>
    </xf>
    <xf numFmtId="0" fontId="359" fillId="0" borderId="45" xfId="0" applyFont="1" applyBorder="1" applyAlignment="1">
      <alignment horizontal="center" vertical="center"/>
    </xf>
    <xf numFmtId="0" fontId="142" fillId="0" borderId="107" xfId="0" applyFont="1" applyBorder="1" applyAlignment="1">
      <alignment horizontal="left" indent="2"/>
    </xf>
    <xf numFmtId="0" fontId="142" fillId="0" borderId="46" xfId="0" applyFont="1" applyBorder="1" applyAlignment="1">
      <alignment horizontal="left" indent="2"/>
    </xf>
    <xf numFmtId="0" fontId="52" fillId="0" borderId="46" xfId="0" applyFont="1" applyBorder="1" applyAlignment="1">
      <alignment horizontal="center"/>
    </xf>
    <xf numFmtId="0" fontId="360" fillId="0" borderId="137" xfId="0" applyFont="1" applyBorder="1" applyAlignment="1">
      <alignment horizontal="center"/>
    </xf>
    <xf numFmtId="0" fontId="360" fillId="0" borderId="74" xfId="0" applyFont="1" applyBorder="1" applyAlignment="1">
      <alignment horizontal="center"/>
    </xf>
    <xf numFmtId="0" fontId="360" fillId="0" borderId="42" xfId="0" applyFont="1" applyFill="1" applyBorder="1" applyAlignment="1">
      <alignment horizontal="center"/>
    </xf>
    <xf numFmtId="0" fontId="360" fillId="0" borderId="22" xfId="0" applyFont="1" applyFill="1" applyBorder="1" applyAlignment="1">
      <alignment horizontal="center"/>
    </xf>
    <xf numFmtId="166" fontId="0" fillId="0" borderId="0" xfId="0" applyNumberFormat="1" applyAlignment="1">
      <alignment horizontal="center"/>
    </xf>
    <xf numFmtId="0" fontId="0" fillId="0" borderId="0" xfId="0" applyAlignment="1">
      <alignment horizontal="center"/>
    </xf>
    <xf numFmtId="179" fontId="10" fillId="0" borderId="62" xfId="0" applyNumberFormat="1" applyFont="1" applyBorder="1" applyAlignment="1">
      <alignment horizontal="center"/>
    </xf>
    <xf numFmtId="0" fontId="0" fillId="0" borderId="47" xfId="0" applyBorder="1" applyAlignment="1">
      <alignment wrapText="1"/>
    </xf>
    <xf numFmtId="0" fontId="0" fillId="0" borderId="11" xfId="0" applyBorder="1" applyAlignment="1">
      <alignment wrapText="1"/>
    </xf>
    <xf numFmtId="0" fontId="0" fillId="0" borderId="19" xfId="0" applyBorder="1" applyAlignment="1">
      <alignment wrapText="1"/>
    </xf>
    <xf numFmtId="0" fontId="109" fillId="10" borderId="30" xfId="0" applyFont="1" applyFill="1" applyBorder="1" applyAlignment="1">
      <alignment wrapText="1"/>
    </xf>
    <xf numFmtId="0" fontId="109" fillId="10" borderId="22" xfId="0" applyFont="1" applyFill="1" applyBorder="1" applyAlignment="1">
      <alignment wrapText="1"/>
    </xf>
    <xf numFmtId="0" fontId="109" fillId="10" borderId="30" xfId="0" applyFont="1" applyFill="1" applyBorder="1" applyAlignment="1">
      <alignment horizontal="center" wrapText="1"/>
    </xf>
    <xf numFmtId="0" fontId="109" fillId="10" borderId="22" xfId="0" applyFont="1" applyFill="1" applyBorder="1" applyAlignment="1">
      <alignment horizontal="center" wrapText="1"/>
    </xf>
    <xf numFmtId="0" fontId="6" fillId="0" borderId="0" xfId="10" applyFont="1" applyFill="1" applyBorder="1" applyAlignment="1">
      <alignment horizontal="left" vertical="center"/>
    </xf>
    <xf numFmtId="0" fontId="4" fillId="0" borderId="0" xfId="10" applyFont="1" applyFill="1" applyBorder="1" applyAlignment="1">
      <alignment horizontal="left" vertical="center" wrapText="1" shrinkToFit="1"/>
    </xf>
    <xf numFmtId="0" fontId="533" fillId="19" borderId="163" xfId="10" applyFont="1" applyFill="1" applyBorder="1" applyAlignment="1">
      <alignment horizontal="center" vertical="center"/>
    </xf>
    <xf numFmtId="217" fontId="526" fillId="19" borderId="163" xfId="10" applyNumberFormat="1" applyFont="1" applyFill="1" applyBorder="1" applyAlignment="1">
      <alignment horizontal="left" vertical="center"/>
    </xf>
    <xf numFmtId="0" fontId="542" fillId="0" borderId="0" xfId="0" applyFont="1" applyAlignment="1">
      <alignment horizontal="center" wrapText="1" shrinkToFit="1"/>
    </xf>
    <xf numFmtId="0" fontId="541" fillId="0" borderId="0" xfId="0" applyFont="1" applyAlignment="1">
      <alignment horizontal="center" wrapText="1" shrinkToFit="1"/>
    </xf>
    <xf numFmtId="0" fontId="604" fillId="0" borderId="48" xfId="0" applyFont="1" applyBorder="1" applyAlignment="1">
      <alignment horizontal="center" vertical="center" wrapText="1" shrinkToFit="1"/>
    </xf>
    <xf numFmtId="0" fontId="604" fillId="0" borderId="52" xfId="0" applyFont="1" applyBorder="1" applyAlignment="1">
      <alignment horizontal="center" vertical="center" wrapText="1" shrinkToFit="1"/>
    </xf>
    <xf numFmtId="183" fontId="470" fillId="20" borderId="30" xfId="0" applyNumberFormat="1" applyFont="1" applyFill="1" applyBorder="1" applyAlignment="1">
      <alignment horizontal="center" vertical="center"/>
    </xf>
    <xf numFmtId="183" fontId="470" fillId="20" borderId="22" xfId="0" applyNumberFormat="1" applyFont="1" applyFill="1" applyBorder="1" applyAlignment="1">
      <alignment horizontal="center" vertical="center"/>
    </xf>
    <xf numFmtId="0" fontId="497" fillId="0" borderId="0" xfId="0" applyFont="1" applyBorder="1" applyAlignment="1"/>
    <xf numFmtId="0" fontId="493" fillId="0" borderId="27" xfId="0" applyFont="1" applyBorder="1" applyAlignment="1">
      <alignment horizontal="center"/>
    </xf>
    <xf numFmtId="0" fontId="493" fillId="0" borderId="0" xfId="0" applyFont="1" applyBorder="1" applyAlignment="1">
      <alignment horizontal="center"/>
    </xf>
    <xf numFmtId="0" fontId="493" fillId="0" borderId="38" xfId="0" applyFont="1" applyBorder="1" applyAlignment="1">
      <alignment horizontal="center"/>
    </xf>
    <xf numFmtId="0" fontId="2" fillId="0" borderId="0" xfId="0" applyFont="1" applyBorder="1" applyAlignment="1">
      <alignment horizontal="center" wrapText="1"/>
    </xf>
    <xf numFmtId="0" fontId="307" fillId="0" borderId="0" xfId="0" applyFont="1" applyAlignment="1">
      <alignment horizontal="center"/>
    </xf>
    <xf numFmtId="0" fontId="0" fillId="0" borderId="30" xfId="0" applyBorder="1" applyAlignment="1">
      <alignment horizontal="left" vertical="center"/>
    </xf>
    <xf numFmtId="0" fontId="0" fillId="0" borderId="22" xfId="0" applyBorder="1" applyAlignment="1">
      <alignment horizontal="left" vertical="center"/>
    </xf>
    <xf numFmtId="0" fontId="0" fillId="0" borderId="33" xfId="0" applyBorder="1" applyAlignment="1">
      <alignment horizontal="left" wrapText="1"/>
    </xf>
    <xf numFmtId="0" fontId="0" fillId="0" borderId="74" xfId="0" applyBorder="1" applyAlignment="1">
      <alignment wrapText="1"/>
    </xf>
    <xf numFmtId="0" fontId="486" fillId="0" borderId="0" xfId="0" applyFont="1" applyAlignment="1">
      <alignment horizontal="center"/>
    </xf>
    <xf numFmtId="218" fontId="487" fillId="0" borderId="0" xfId="0" applyNumberFormat="1" applyFont="1" applyAlignment="1">
      <alignment horizontal="center"/>
    </xf>
    <xf numFmtId="0" fontId="291" fillId="0" borderId="0" xfId="0" applyFont="1" applyAlignment="1">
      <alignment horizontal="center"/>
    </xf>
    <xf numFmtId="0" fontId="65" fillId="7" borderId="42" xfId="4" applyFont="1" applyFill="1" applyBorder="1" applyAlignment="1" applyProtection="1">
      <alignment horizontal="left" wrapText="1"/>
    </xf>
    <xf numFmtId="0" fontId="65" fillId="7" borderId="54" xfId="4" applyFont="1" applyFill="1" applyBorder="1" applyAlignment="1" applyProtection="1">
      <alignment horizontal="left"/>
    </xf>
    <xf numFmtId="0" fontId="65" fillId="7" borderId="22" xfId="4" applyFont="1" applyFill="1" applyBorder="1" applyAlignment="1" applyProtection="1">
      <alignment horizontal="left"/>
    </xf>
    <xf numFmtId="0" fontId="14" fillId="0" borderId="1" xfId="0" applyFont="1" applyBorder="1" applyAlignment="1">
      <alignment horizontal="left" indent="1"/>
    </xf>
    <xf numFmtId="0" fontId="262" fillId="0" borderId="0" xfId="0" applyFont="1" applyBorder="1" applyAlignment="1">
      <alignment horizontal="center" vertical="center"/>
    </xf>
    <xf numFmtId="0" fontId="262" fillId="0" borderId="38" xfId="0" applyFont="1" applyBorder="1" applyAlignment="1">
      <alignment horizontal="center" vertical="center"/>
    </xf>
    <xf numFmtId="166" fontId="137" fillId="0" borderId="1" xfId="0" applyNumberFormat="1" applyFont="1" applyBorder="1" applyAlignment="1">
      <alignment horizontal="center" vertical="center" textRotation="78"/>
    </xf>
    <xf numFmtId="0" fontId="137" fillId="0" borderId="1" xfId="0" applyFont="1" applyBorder="1" applyAlignment="1">
      <alignment horizontal="center" vertical="center" textRotation="78"/>
    </xf>
    <xf numFmtId="0" fontId="7" fillId="0" borderId="30" xfId="0" applyFont="1" applyBorder="1" applyAlignment="1">
      <alignment horizontal="center"/>
    </xf>
    <xf numFmtId="0" fontId="7" fillId="0" borderId="54" xfId="0" applyFont="1" applyBorder="1" applyAlignment="1">
      <alignment horizontal="center"/>
    </xf>
    <xf numFmtId="0" fontId="7" fillId="0" borderId="22" xfId="0" applyFont="1" applyBorder="1" applyAlignment="1">
      <alignment horizontal="center"/>
    </xf>
    <xf numFmtId="0" fontId="319" fillId="0" borderId="0" xfId="0" applyFont="1" applyAlignment="1">
      <alignment horizontal="center" vertical="center"/>
    </xf>
    <xf numFmtId="0" fontId="337" fillId="0" borderId="141" xfId="0" applyFont="1" applyBorder="1" applyAlignment="1">
      <alignment horizontal="center" vertical="center" wrapText="1"/>
    </xf>
    <xf numFmtId="0" fontId="23" fillId="0" borderId="142" xfId="0" applyFont="1" applyBorder="1" applyAlignment="1">
      <alignment horizontal="center" vertical="center"/>
    </xf>
    <xf numFmtId="0" fontId="23" fillId="0" borderId="138" xfId="0" applyFont="1" applyBorder="1" applyAlignment="1">
      <alignment horizontal="center" vertical="center"/>
    </xf>
    <xf numFmtId="0" fontId="325" fillId="8" borderId="143" xfId="0" applyFont="1" applyFill="1" applyBorder="1" applyAlignment="1">
      <alignment horizontal="center"/>
    </xf>
    <xf numFmtId="0" fontId="325" fillId="8" borderId="144" xfId="0" applyFont="1" applyFill="1" applyBorder="1" applyAlignment="1">
      <alignment horizontal="center"/>
    </xf>
    <xf numFmtId="0" fontId="325" fillId="8" borderId="145" xfId="0" applyFont="1" applyFill="1" applyBorder="1" applyAlignment="1">
      <alignment horizontal="center"/>
    </xf>
    <xf numFmtId="0" fontId="263" fillId="8" borderId="146" xfId="0" applyFont="1" applyFill="1" applyBorder="1" applyAlignment="1">
      <alignment vertical="center"/>
    </xf>
    <xf numFmtId="0" fontId="263" fillId="8" borderId="147" xfId="0" applyFont="1" applyFill="1" applyBorder="1" applyAlignment="1">
      <alignment vertical="center"/>
    </xf>
    <xf numFmtId="0" fontId="263" fillId="8" borderId="148" xfId="0" applyFont="1" applyFill="1" applyBorder="1" applyAlignment="1">
      <alignment vertical="center"/>
    </xf>
    <xf numFmtId="0" fontId="264" fillId="8" borderId="149" xfId="0" applyFont="1" applyFill="1" applyBorder="1" applyAlignment="1">
      <alignment vertical="center"/>
    </xf>
    <xf numFmtId="0" fontId="263" fillId="8" borderId="149" xfId="0" applyFont="1" applyFill="1" applyBorder="1" applyAlignment="1">
      <alignment vertical="center"/>
    </xf>
    <xf numFmtId="0" fontId="229" fillId="7" borderId="42" xfId="0" applyFont="1" applyFill="1" applyBorder="1" applyAlignment="1">
      <alignment horizontal="left"/>
    </xf>
    <xf numFmtId="0" fontId="229" fillId="7" borderId="54" xfId="0" applyFont="1" applyFill="1" applyBorder="1" applyAlignment="1">
      <alignment horizontal="left"/>
    </xf>
    <xf numFmtId="0" fontId="229" fillId="7" borderId="22" xfId="0" applyFont="1" applyFill="1" applyBorder="1" applyAlignment="1">
      <alignment horizontal="left"/>
    </xf>
    <xf numFmtId="0" fontId="168" fillId="9" borderId="34" xfId="4" applyFont="1" applyFill="1" applyBorder="1" applyAlignment="1" applyProtection="1">
      <alignment horizontal="center"/>
    </xf>
    <xf numFmtId="0" fontId="168" fillId="9" borderId="87" xfId="4" applyFont="1" applyFill="1" applyBorder="1" applyAlignment="1" applyProtection="1">
      <alignment horizontal="center"/>
    </xf>
    <xf numFmtId="0" fontId="230" fillId="7" borderId="42" xfId="0" applyFont="1" applyFill="1" applyBorder="1"/>
    <xf numFmtId="0" fontId="230" fillId="7" borderId="54" xfId="0" applyFont="1" applyFill="1" applyBorder="1"/>
    <xf numFmtId="0" fontId="230" fillId="7" borderId="22" xfId="0" applyFont="1" applyFill="1" applyBorder="1"/>
    <xf numFmtId="0" fontId="55" fillId="7" borderId="42" xfId="4" applyFont="1" applyFill="1" applyBorder="1" applyAlignment="1" applyProtection="1">
      <alignment horizontal="left"/>
    </xf>
    <xf numFmtId="0" fontId="55" fillId="7" borderId="54" xfId="4" applyFont="1" applyFill="1" applyBorder="1" applyAlignment="1" applyProtection="1">
      <alignment horizontal="left"/>
    </xf>
    <xf numFmtId="0" fontId="55" fillId="7" borderId="22" xfId="4" applyFont="1" applyFill="1" applyBorder="1" applyAlignment="1" applyProtection="1">
      <alignment horizontal="left"/>
    </xf>
    <xf numFmtId="0" fontId="55" fillId="7" borderId="108" xfId="4" applyFont="1" applyFill="1" applyBorder="1" applyAlignment="1" applyProtection="1">
      <alignment horizontal="left"/>
    </xf>
    <xf numFmtId="0" fontId="55" fillId="7" borderId="0" xfId="4" applyFont="1" applyFill="1" applyBorder="1" applyAlignment="1" applyProtection="1">
      <alignment horizontal="left"/>
    </xf>
    <xf numFmtId="0" fontId="55" fillId="7" borderId="38" xfId="4" applyFont="1" applyFill="1" applyBorder="1" applyAlignment="1" applyProtection="1">
      <alignment horizontal="left"/>
    </xf>
    <xf numFmtId="0" fontId="257" fillId="9" borderId="55" xfId="0" applyFont="1" applyFill="1" applyBorder="1" applyAlignment="1">
      <alignment horizontal="left" indent="1"/>
    </xf>
    <xf numFmtId="0" fontId="257" fillId="9" borderId="87" xfId="0" applyFont="1" applyFill="1" applyBorder="1" applyAlignment="1">
      <alignment horizontal="left" indent="1"/>
    </xf>
    <xf numFmtId="0" fontId="257" fillId="9" borderId="24" xfId="0" applyFont="1" applyFill="1" applyBorder="1" applyAlignment="1">
      <alignment horizontal="left" indent="1"/>
    </xf>
    <xf numFmtId="184" fontId="248" fillId="8" borderId="0" xfId="0" applyNumberFormat="1" applyFont="1" applyFill="1" applyBorder="1" applyAlignment="1">
      <alignment horizontal="center" vertical="center"/>
    </xf>
    <xf numFmtId="0" fontId="55" fillId="7" borderId="8" xfId="4" applyFont="1" applyFill="1" applyBorder="1" applyAlignment="1" applyProtection="1">
      <alignment horizontal="left"/>
    </xf>
    <xf numFmtId="0" fontId="55" fillId="7" borderId="1" xfId="4" applyFont="1" applyFill="1" applyBorder="1" applyAlignment="1" applyProtection="1">
      <alignment horizontal="left"/>
    </xf>
    <xf numFmtId="0" fontId="55" fillId="7" borderId="58" xfId="4" applyFont="1" applyFill="1" applyBorder="1" applyAlignment="1" applyProtection="1">
      <alignment horizontal="left"/>
    </xf>
    <xf numFmtId="0" fontId="55" fillId="7" borderId="18" xfId="4" applyFont="1" applyFill="1" applyBorder="1" applyAlignment="1" applyProtection="1">
      <alignment horizontal="left"/>
    </xf>
    <xf numFmtId="0" fontId="55" fillId="7" borderId="19" xfId="4" applyFont="1" applyFill="1" applyBorder="1" applyAlignment="1" applyProtection="1">
      <alignment horizontal="left"/>
    </xf>
    <xf numFmtId="0" fontId="43" fillId="7" borderId="53" xfId="0" applyFont="1" applyFill="1" applyBorder="1" applyAlignment="1">
      <alignment horizontal="left"/>
    </xf>
    <xf numFmtId="0" fontId="43" fillId="7" borderId="29" xfId="0" applyFont="1" applyFill="1" applyBorder="1" applyAlignment="1">
      <alignment horizontal="left"/>
    </xf>
    <xf numFmtId="0" fontId="43" fillId="7" borderId="18" xfId="0" applyFont="1" applyFill="1" applyBorder="1" applyAlignment="1">
      <alignment horizontal="left"/>
    </xf>
    <xf numFmtId="0" fontId="56" fillId="7" borderId="137" xfId="4" applyFont="1" applyFill="1" applyBorder="1" applyAlignment="1" applyProtection="1">
      <alignment horizontal="left"/>
    </xf>
    <xf numFmtId="0" fontId="56" fillId="7" borderId="86" xfId="4" applyFont="1" applyFill="1" applyBorder="1" applyAlignment="1" applyProtection="1">
      <alignment horizontal="left"/>
    </xf>
    <xf numFmtId="0" fontId="56" fillId="7" borderId="74" xfId="4" applyFont="1" applyFill="1" applyBorder="1" applyAlignment="1" applyProtection="1">
      <alignment horizontal="left"/>
    </xf>
    <xf numFmtId="0" fontId="263" fillId="8" borderId="150" xfId="0" applyFont="1" applyFill="1" applyBorder="1" applyAlignment="1">
      <alignment horizontal="left" vertical="center"/>
    </xf>
    <xf numFmtId="0" fontId="263" fillId="8" borderId="149" xfId="0" applyFont="1" applyFill="1" applyBorder="1" applyAlignment="1">
      <alignment horizontal="left" vertical="center"/>
    </xf>
    <xf numFmtId="0" fontId="264" fillId="8" borderId="149" xfId="0" applyFont="1" applyFill="1" applyBorder="1" applyAlignment="1">
      <alignment horizontal="left" vertical="center"/>
    </xf>
    <xf numFmtId="0" fontId="11" fillId="0" borderId="1" xfId="0" applyFont="1" applyBorder="1" applyAlignment="1">
      <alignment horizontal="center"/>
    </xf>
    <xf numFmtId="0" fontId="270" fillId="0" borderId="0" xfId="0" applyFont="1" applyAlignment="1">
      <alignment horizontal="center" vertical="center"/>
    </xf>
    <xf numFmtId="0" fontId="270" fillId="0" borderId="62" xfId="0" applyFont="1" applyBorder="1" applyAlignment="1">
      <alignment horizontal="center" vertical="center"/>
    </xf>
    <xf numFmtId="0" fontId="201" fillId="2" borderId="114" xfId="0" applyFont="1" applyFill="1" applyBorder="1" applyAlignment="1">
      <alignment horizontal="center" vertical="center"/>
    </xf>
    <xf numFmtId="0" fontId="201" fillId="2" borderId="111" xfId="0" applyFont="1" applyFill="1" applyBorder="1" applyAlignment="1">
      <alignment horizontal="center" vertical="center"/>
    </xf>
    <xf numFmtId="0" fontId="200" fillId="2" borderId="111" xfId="0" applyFont="1" applyFill="1" applyBorder="1" applyAlignment="1">
      <alignment horizontal="center" wrapText="1"/>
    </xf>
    <xf numFmtId="0" fontId="200" fillId="2" borderId="112" xfId="0" applyFont="1" applyFill="1" applyBorder="1" applyAlignment="1">
      <alignment horizontal="center" wrapText="1"/>
    </xf>
    <xf numFmtId="0" fontId="199" fillId="2" borderId="111" xfId="0" applyFont="1" applyFill="1" applyBorder="1" applyAlignment="1">
      <alignment horizontal="center" wrapText="1"/>
    </xf>
    <xf numFmtId="0" fontId="199" fillId="2" borderId="112" xfId="0" applyFont="1" applyFill="1" applyBorder="1" applyAlignment="1">
      <alignment horizontal="center" wrapText="1"/>
    </xf>
    <xf numFmtId="0" fontId="199" fillId="2" borderId="113" xfId="0" applyFont="1" applyFill="1" applyBorder="1" applyAlignment="1">
      <alignment horizontal="center" wrapText="1"/>
    </xf>
    <xf numFmtId="0" fontId="199" fillId="2" borderId="89" xfId="0" applyFont="1" applyFill="1" applyBorder="1" applyAlignment="1">
      <alignment horizontal="center" wrapText="1"/>
    </xf>
    <xf numFmtId="0" fontId="202" fillId="2" borderId="116" xfId="0" applyFont="1" applyFill="1" applyBorder="1" applyAlignment="1">
      <alignment horizontal="center" vertical="center"/>
    </xf>
    <xf numFmtId="0" fontId="202" fillId="2" borderId="112" xfId="0" applyFont="1" applyFill="1" applyBorder="1" applyAlignment="1">
      <alignment horizontal="center" vertical="center"/>
    </xf>
    <xf numFmtId="0" fontId="109" fillId="0" borderId="129" xfId="0" applyFont="1" applyBorder="1" applyAlignment="1">
      <alignment horizontal="center"/>
    </xf>
    <xf numFmtId="0" fontId="109" fillId="0" borderId="66" xfId="0" applyFont="1" applyBorder="1" applyAlignment="1">
      <alignment horizontal="center"/>
    </xf>
    <xf numFmtId="0" fontId="214" fillId="0" borderId="5" xfId="0" applyFont="1" applyFill="1" applyBorder="1" applyAlignment="1">
      <alignment horizontal="center"/>
    </xf>
    <xf numFmtId="0" fontId="0" fillId="0" borderId="22" xfId="0" applyBorder="1" applyAlignment="1">
      <alignment horizontal="center"/>
    </xf>
    <xf numFmtId="0" fontId="0" fillId="0" borderId="30" xfId="0" applyBorder="1" applyAlignment="1">
      <alignment horizontal="center"/>
    </xf>
    <xf numFmtId="0" fontId="214" fillId="0" borderId="3" xfId="0" applyFont="1" applyFill="1" applyBorder="1" applyAlignment="1">
      <alignment horizontal="center"/>
    </xf>
    <xf numFmtId="0" fontId="405" fillId="0" borderId="0" xfId="0" applyFont="1" applyAlignment="1">
      <alignment horizontal="center"/>
    </xf>
    <xf numFmtId="0" fontId="223" fillId="0" borderId="1" xfId="0" applyFont="1" applyBorder="1" applyAlignment="1">
      <alignment horizontal="justify" vertical="center" wrapText="1"/>
    </xf>
    <xf numFmtId="0" fontId="207" fillId="0" borderId="1" xfId="0" applyFont="1" applyBorder="1" applyAlignment="1">
      <alignment horizontal="justify" vertical="center"/>
    </xf>
    <xf numFmtId="0" fontId="26" fillId="0" borderId="1" xfId="0" applyFont="1" applyBorder="1" applyAlignment="1">
      <alignment horizontal="left" vertical="center" wrapText="1"/>
    </xf>
    <xf numFmtId="14" fontId="0" fillId="0" borderId="30" xfId="0" applyNumberFormat="1" applyBorder="1" applyAlignment="1">
      <alignment horizontal="center"/>
    </xf>
    <xf numFmtId="14" fontId="0" fillId="0" borderId="22" xfId="0" applyNumberFormat="1" applyBorder="1" applyAlignment="1">
      <alignment horizontal="center"/>
    </xf>
    <xf numFmtId="14" fontId="13" fillId="0" borderId="0" xfId="0" applyNumberFormat="1" applyFont="1" applyFill="1" applyAlignment="1">
      <alignment horizontal="center"/>
    </xf>
    <xf numFmtId="0" fontId="0" fillId="0" borderId="137" xfId="0" applyBorder="1" applyAlignment="1">
      <alignment horizontal="left" indent="1"/>
    </xf>
    <xf numFmtId="0" fontId="0" fillId="0" borderId="86" xfId="0" applyBorder="1" applyAlignment="1">
      <alignment horizontal="left" indent="1"/>
    </xf>
    <xf numFmtId="0" fontId="0" fillId="0" borderId="43" xfId="0" applyBorder="1" applyAlignment="1">
      <alignment horizontal="left" indent="1"/>
    </xf>
    <xf numFmtId="0" fontId="13" fillId="0" borderId="0" xfId="0" applyFont="1" applyFill="1" applyBorder="1" applyAlignment="1">
      <alignment horizontal="center"/>
    </xf>
    <xf numFmtId="0" fontId="170" fillId="0" borderId="30" xfId="0" applyFont="1" applyFill="1" applyBorder="1" applyAlignment="1">
      <alignment horizontal="center"/>
    </xf>
    <xf numFmtId="0" fontId="170" fillId="0" borderId="54" xfId="0" applyFont="1" applyFill="1" applyBorder="1" applyAlignment="1">
      <alignment horizontal="center"/>
    </xf>
    <xf numFmtId="0" fontId="170" fillId="0" borderId="22" xfId="0" applyFont="1" applyFill="1" applyBorder="1" applyAlignment="1">
      <alignment horizontal="center"/>
    </xf>
    <xf numFmtId="0" fontId="13" fillId="0" borderId="0" xfId="0" applyFont="1" applyFill="1" applyBorder="1" applyAlignment="1">
      <alignment horizontal="center" vertical="center"/>
    </xf>
    <xf numFmtId="0" fontId="13" fillId="0" borderId="1" xfId="0" applyFont="1" applyFill="1" applyBorder="1" applyAlignment="1">
      <alignment horizontal="center"/>
    </xf>
    <xf numFmtId="0" fontId="13" fillId="0" borderId="37" xfId="0" applyFont="1" applyFill="1" applyBorder="1" applyAlignment="1">
      <alignment horizontal="center" vertical="center"/>
    </xf>
    <xf numFmtId="0" fontId="13" fillId="0" borderId="38" xfId="0" applyFont="1" applyFill="1" applyBorder="1" applyAlignment="1">
      <alignment horizontal="center" vertical="center"/>
    </xf>
    <xf numFmtId="0" fontId="13" fillId="0" borderId="18" xfId="0" applyFont="1" applyFill="1" applyBorder="1" applyAlignment="1">
      <alignment horizontal="center" vertical="center"/>
    </xf>
    <xf numFmtId="0" fontId="13" fillId="0" borderId="39" xfId="0" applyFont="1" applyBorder="1" applyAlignment="1">
      <alignment vertical="center"/>
    </xf>
    <xf numFmtId="0" fontId="13" fillId="0" borderId="40" xfId="0" applyFont="1" applyBorder="1" applyAlignment="1">
      <alignment vertical="center"/>
    </xf>
    <xf numFmtId="0" fontId="13" fillId="0" borderId="0" xfId="0" applyFont="1" applyAlignment="1">
      <alignment horizontal="justify" vertical="top"/>
    </xf>
    <xf numFmtId="0" fontId="0" fillId="0" borderId="0" xfId="0" applyAlignment="1">
      <alignment horizontal="justify" vertical="top"/>
    </xf>
    <xf numFmtId="0" fontId="13" fillId="0" borderId="61" xfId="0" applyFont="1" applyBorder="1" applyAlignment="1">
      <alignment vertical="center"/>
    </xf>
    <xf numFmtId="14" fontId="26" fillId="0" borderId="29" xfId="0" applyNumberFormat="1" applyFont="1" applyBorder="1" applyAlignment="1">
      <alignment horizontal="center" vertical="top"/>
    </xf>
    <xf numFmtId="0" fontId="16" fillId="0" borderId="80" xfId="0" applyFont="1" applyBorder="1" applyAlignment="1">
      <alignment horizontal="center" vertical="center"/>
    </xf>
    <xf numFmtId="0" fontId="16" fillId="0" borderId="10" xfId="0" applyFont="1" applyBorder="1" applyAlignment="1">
      <alignment horizontal="center" vertical="center"/>
    </xf>
    <xf numFmtId="0" fontId="16" fillId="0" borderId="58" xfId="0" applyFont="1" applyBorder="1" applyAlignment="1">
      <alignment horizontal="center" vertical="center"/>
    </xf>
    <xf numFmtId="167" fontId="146" fillId="0" borderId="151" xfId="0" applyNumberFormat="1" applyFont="1" applyBorder="1" applyAlignment="1">
      <alignment horizontal="center" vertical="center"/>
    </xf>
    <xf numFmtId="167" fontId="146" fillId="0" borderId="40" xfId="0" applyNumberFormat="1" applyFont="1" applyBorder="1" applyAlignment="1">
      <alignment horizontal="center" vertical="center"/>
    </xf>
    <xf numFmtId="167" fontId="146" fillId="0" borderId="17" xfId="0" applyNumberFormat="1" applyFont="1" applyBorder="1" applyAlignment="1">
      <alignment horizontal="center" vertical="center"/>
    </xf>
    <xf numFmtId="167" fontId="146" fillId="0" borderId="61" xfId="0" applyNumberFormat="1" applyFont="1" applyBorder="1" applyAlignment="1">
      <alignment horizontal="center" vertical="center"/>
    </xf>
    <xf numFmtId="0" fontId="16" fillId="0" borderId="70" xfId="0" applyFont="1" applyBorder="1" applyAlignment="1">
      <alignment horizontal="center" vertical="center"/>
    </xf>
    <xf numFmtId="167" fontId="146" fillId="0" borderId="39" xfId="0" applyNumberFormat="1" applyFont="1" applyBorder="1" applyAlignment="1">
      <alignment horizontal="center" vertical="center"/>
    </xf>
    <xf numFmtId="0" fontId="16" fillId="0" borderId="69" xfId="0" applyFont="1" applyBorder="1" applyAlignment="1">
      <alignment horizontal="center" vertical="center"/>
    </xf>
    <xf numFmtId="14" fontId="45" fillId="5" borderId="1" xfId="0" applyNumberFormat="1" applyFont="1" applyFill="1" applyBorder="1" applyAlignment="1">
      <alignment horizontal="center" vertical="center"/>
    </xf>
    <xf numFmtId="0" fontId="112" fillId="0" borderId="0" xfId="0" applyFont="1" applyAlignment="1">
      <alignment horizontal="left" wrapText="1"/>
    </xf>
    <xf numFmtId="0" fontId="113" fillId="0" borderId="0" xfId="0" applyFont="1" applyAlignment="1">
      <alignment horizontal="left" wrapText="1"/>
    </xf>
    <xf numFmtId="0" fontId="109" fillId="0" borderId="0" xfId="0" applyFont="1" applyAlignment="1">
      <alignment horizontal="center" vertical="top" wrapText="1"/>
    </xf>
    <xf numFmtId="0" fontId="110" fillId="0" borderId="0" xfId="0" applyFont="1" applyAlignment="1">
      <alignment horizontal="right" wrapText="1"/>
    </xf>
    <xf numFmtId="0" fontId="13" fillId="0" borderId="30" xfId="0" applyFont="1" applyBorder="1" applyAlignment="1">
      <alignment horizontal="center"/>
    </xf>
    <xf numFmtId="0" fontId="13" fillId="0" borderId="54" xfId="0" applyFont="1" applyBorder="1" applyAlignment="1">
      <alignment horizontal="center"/>
    </xf>
    <xf numFmtId="0" fontId="13" fillId="0" borderId="22" xfId="0" applyFont="1" applyBorder="1" applyAlignment="1">
      <alignment horizontal="center"/>
    </xf>
    <xf numFmtId="0" fontId="0" fillId="0" borderId="54" xfId="0" applyBorder="1" applyAlignment="1">
      <alignment horizontal="center"/>
    </xf>
    <xf numFmtId="0" fontId="10" fillId="0" borderId="54" xfId="0" applyFont="1" applyBorder="1" applyAlignment="1">
      <alignment horizontal="left"/>
    </xf>
    <xf numFmtId="0" fontId="10" fillId="0" borderId="22" xfId="0" applyFont="1" applyBorder="1" applyAlignment="1">
      <alignment horizontal="left"/>
    </xf>
    <xf numFmtId="14" fontId="0" fillId="0" borderId="1" xfId="0" applyNumberFormat="1"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0" fontId="0" fillId="0" borderId="37" xfId="0" applyBorder="1" applyAlignment="1">
      <alignment horizontal="center"/>
    </xf>
    <xf numFmtId="0" fontId="0" fillId="0" borderId="28" xfId="0" applyBorder="1" applyAlignment="1">
      <alignment horizontal="center"/>
    </xf>
    <xf numFmtId="0" fontId="0" fillId="0" borderId="29" xfId="0" applyBorder="1" applyAlignment="1">
      <alignment horizontal="center"/>
    </xf>
    <xf numFmtId="0" fontId="0" fillId="0" borderId="18" xfId="0" applyBorder="1" applyAlignment="1">
      <alignment horizontal="center"/>
    </xf>
    <xf numFmtId="0" fontId="26" fillId="0" borderId="30" xfId="0" applyFont="1" applyBorder="1" applyAlignment="1">
      <alignment horizontal="center"/>
    </xf>
    <xf numFmtId="0" fontId="26" fillId="0" borderId="54" xfId="0" applyFont="1" applyBorder="1" applyAlignment="1">
      <alignment horizontal="center"/>
    </xf>
    <xf numFmtId="0" fontId="26" fillId="0" borderId="22" xfId="0" applyFont="1" applyBorder="1" applyAlignment="1">
      <alignment horizontal="center"/>
    </xf>
    <xf numFmtId="0" fontId="116" fillId="0" borderId="30" xfId="0" applyFont="1" applyBorder="1" applyAlignment="1">
      <alignment horizontal="center"/>
    </xf>
    <xf numFmtId="0" fontId="116" fillId="0" borderId="54" xfId="0" applyFont="1" applyBorder="1" applyAlignment="1">
      <alignment horizontal="center"/>
    </xf>
    <xf numFmtId="0" fontId="116" fillId="0" borderId="22" xfId="0" applyFont="1" applyBorder="1" applyAlignment="1">
      <alignment horizontal="center"/>
    </xf>
    <xf numFmtId="14" fontId="0" fillId="0" borderId="0" xfId="0" applyNumberFormat="1" applyAlignment="1">
      <alignment horizontal="center"/>
    </xf>
    <xf numFmtId="0" fontId="10" fillId="0" borderId="27" xfId="0" applyFont="1" applyBorder="1" applyAlignment="1">
      <alignment horizontal="center"/>
    </xf>
    <xf numFmtId="0" fontId="10" fillId="0" borderId="0" xfId="0" applyFont="1" applyBorder="1" applyAlignment="1">
      <alignment horizontal="center"/>
    </xf>
    <xf numFmtId="0" fontId="117" fillId="0" borderId="27" xfId="0" applyFont="1" applyBorder="1" applyAlignment="1">
      <alignment horizontal="center"/>
    </xf>
    <xf numFmtId="0" fontId="117" fillId="0" borderId="0" xfId="0" applyFont="1" applyBorder="1" applyAlignment="1">
      <alignment horizontal="center"/>
    </xf>
    <xf numFmtId="0" fontId="13" fillId="0" borderId="27" xfId="0" applyFont="1" applyBorder="1" applyAlignment="1">
      <alignment horizontal="center"/>
    </xf>
    <xf numFmtId="0" fontId="0" fillId="0" borderId="0" xfId="0" applyBorder="1" applyAlignment="1">
      <alignment horizontal="center"/>
    </xf>
    <xf numFmtId="4" fontId="0" fillId="0" borderId="36" xfId="5" applyNumberFormat="1" applyFont="1" applyBorder="1" applyAlignment="1">
      <alignment horizontal="center" vertical="center"/>
    </xf>
    <xf numFmtId="4" fontId="0" fillId="0" borderId="0" xfId="5" applyNumberFormat="1" applyFont="1" applyBorder="1" applyAlignment="1">
      <alignment horizontal="center" vertical="center"/>
    </xf>
    <xf numFmtId="0" fontId="17" fillId="0" borderId="1" xfId="0" applyFont="1" applyBorder="1" applyAlignment="1">
      <alignment horizontal="left"/>
    </xf>
    <xf numFmtId="0" fontId="16" fillId="0" borderId="0" xfId="0" applyFont="1" applyAlignment="1">
      <alignment horizontal="center"/>
    </xf>
    <xf numFmtId="0" fontId="22" fillId="0" borderId="19" xfId="0" applyFont="1" applyBorder="1" applyAlignment="1">
      <alignment horizontal="center"/>
    </xf>
    <xf numFmtId="0" fontId="17" fillId="0" borderId="3" xfId="0" applyFont="1" applyBorder="1" applyAlignment="1">
      <alignment horizontal="center" vertical="center"/>
    </xf>
    <xf numFmtId="0" fontId="22" fillId="0" borderId="1" xfId="0" applyFont="1" applyBorder="1" applyAlignment="1">
      <alignment horizontal="left"/>
    </xf>
    <xf numFmtId="0" fontId="22" fillId="0" borderId="5" xfId="0" applyFont="1" applyBorder="1" applyAlignment="1">
      <alignment horizontal="left" vertical="center"/>
    </xf>
    <xf numFmtId="0" fontId="33" fillId="0" borderId="2" xfId="0" applyFont="1" applyBorder="1" applyAlignment="1">
      <alignment horizontal="center" vertical="center"/>
    </xf>
    <xf numFmtId="0" fontId="33" fillId="0" borderId="3" xfId="0" applyFont="1" applyBorder="1" applyAlignment="1">
      <alignment horizontal="center" vertical="center"/>
    </xf>
    <xf numFmtId="0" fontId="33" fillId="0" borderId="8" xfId="0" applyFont="1" applyBorder="1" applyAlignment="1">
      <alignment horizontal="center" vertical="center"/>
    </xf>
    <xf numFmtId="0" fontId="33" fillId="0" borderId="1" xfId="0" applyFont="1" applyBorder="1" applyAlignment="1">
      <alignment horizontal="center" vertical="center"/>
    </xf>
    <xf numFmtId="0" fontId="33" fillId="0" borderId="4" xfId="0" applyFont="1" applyBorder="1" applyAlignment="1">
      <alignment horizontal="center" vertical="center"/>
    </xf>
    <xf numFmtId="0" fontId="33" fillId="0" borderId="5" xfId="0" applyFont="1" applyBorder="1" applyAlignment="1">
      <alignment horizontal="center" vertical="center"/>
    </xf>
    <xf numFmtId="0" fontId="22" fillId="0" borderId="3" xfId="0" applyFont="1" applyBorder="1" applyAlignment="1">
      <alignment horizontal="left"/>
    </xf>
    <xf numFmtId="0" fontId="5" fillId="0" borderId="3" xfId="0" applyFont="1" applyBorder="1" applyAlignment="1">
      <alignment horizontal="left"/>
    </xf>
    <xf numFmtId="0" fontId="22" fillId="0" borderId="30" xfId="0" applyFont="1" applyBorder="1" applyAlignment="1">
      <alignment horizontal="left"/>
    </xf>
    <xf numFmtId="0" fontId="22" fillId="0" borderId="22" xfId="0" applyFont="1" applyBorder="1" applyAlignment="1">
      <alignment horizontal="left"/>
    </xf>
    <xf numFmtId="0" fontId="22" fillId="0" borderId="5" xfId="0" applyFont="1" applyBorder="1" applyAlignment="1">
      <alignment horizontal="left"/>
    </xf>
    <xf numFmtId="0" fontId="17" fillId="0" borderId="5" xfId="0" applyFont="1" applyBorder="1" applyAlignment="1">
      <alignment horizontal="center" vertical="center"/>
    </xf>
    <xf numFmtId="0" fontId="8" fillId="0" borderId="64" xfId="0" applyFont="1" applyBorder="1" applyAlignment="1">
      <alignment horizontal="center"/>
    </xf>
    <xf numFmtId="0" fontId="8" fillId="0" borderId="57" xfId="0" applyFont="1" applyBorder="1" applyAlignment="1">
      <alignment horizontal="center"/>
    </xf>
    <xf numFmtId="0" fontId="8" fillId="0" borderId="33" xfId="0" applyFont="1" applyBorder="1" applyAlignment="1">
      <alignment horizontal="center"/>
    </xf>
    <xf numFmtId="0" fontId="8" fillId="0" borderId="74" xfId="0" applyFont="1" applyBorder="1" applyAlignment="1">
      <alignment horizontal="center"/>
    </xf>
    <xf numFmtId="0" fontId="8" fillId="0" borderId="48" xfId="0" applyFont="1" applyBorder="1" applyAlignment="1">
      <alignment horizontal="center"/>
    </xf>
    <xf numFmtId="0" fontId="8" fillId="0" borderId="63" xfId="0" applyFont="1" applyBorder="1" applyAlignment="1">
      <alignment horizontal="center"/>
    </xf>
    <xf numFmtId="0" fontId="8" fillId="0" borderId="52" xfId="0" applyFont="1" applyBorder="1" applyAlignment="1">
      <alignment horizontal="center"/>
    </xf>
    <xf numFmtId="0" fontId="8" fillId="0" borderId="66" xfId="0" applyFont="1" applyBorder="1" applyAlignment="1">
      <alignment horizontal="center"/>
    </xf>
    <xf numFmtId="0" fontId="8" fillId="0" borderId="105" xfId="0" applyFont="1" applyBorder="1" applyAlignment="1">
      <alignment horizontal="center"/>
    </xf>
    <xf numFmtId="0" fontId="8" fillId="0" borderId="129" xfId="0" applyFont="1" applyBorder="1" applyAlignment="1">
      <alignment horizontal="center"/>
    </xf>
    <xf numFmtId="4" fontId="8" fillId="0" borderId="64" xfId="0" applyNumberFormat="1" applyFont="1" applyBorder="1" applyAlignment="1">
      <alignment horizontal="center"/>
    </xf>
    <xf numFmtId="4" fontId="8" fillId="0" borderId="57" xfId="0" applyNumberFormat="1" applyFont="1" applyBorder="1" applyAlignment="1">
      <alignment horizontal="center"/>
    </xf>
    <xf numFmtId="0" fontId="8" fillId="0" borderId="65" xfId="0" applyFont="1" applyBorder="1" applyAlignment="1">
      <alignment horizontal="center"/>
    </xf>
    <xf numFmtId="0" fontId="8" fillId="0" borderId="67" xfId="0" applyFont="1" applyBorder="1" applyAlignment="1">
      <alignment horizontal="center"/>
    </xf>
    <xf numFmtId="0" fontId="5" fillId="0" borderId="5" xfId="0" applyFont="1" applyBorder="1" applyAlignment="1">
      <alignment horizontal="left"/>
    </xf>
    <xf numFmtId="0" fontId="7" fillId="0" borderId="64" xfId="0" applyFont="1" applyBorder="1" applyAlignment="1">
      <alignment horizontal="center"/>
    </xf>
    <xf numFmtId="0" fontId="7" fillId="0" borderId="57" xfId="0" applyFont="1" applyBorder="1" applyAlignment="1">
      <alignment horizontal="center"/>
    </xf>
    <xf numFmtId="0" fontId="0" fillId="0" borderId="1" xfId="0" applyBorder="1" applyAlignment="1">
      <alignment horizontal="center" vertical="center"/>
    </xf>
    <xf numFmtId="0" fontId="0" fillId="0" borderId="1" xfId="0" applyBorder="1" applyAlignment="1">
      <alignment horizontal="left"/>
    </xf>
    <xf numFmtId="0" fontId="0" fillId="0" borderId="30" xfId="0" applyBorder="1" applyAlignment="1">
      <alignment horizontal="left" vertical="center" indent="2"/>
    </xf>
    <xf numFmtId="0" fontId="0" fillId="0" borderId="54" xfId="0" applyBorder="1" applyAlignment="1">
      <alignment horizontal="left" vertical="center" indent="2"/>
    </xf>
    <xf numFmtId="0" fontId="0" fillId="0" borderId="22" xfId="0" applyBorder="1" applyAlignment="1">
      <alignment horizontal="left" vertical="center" indent="2"/>
    </xf>
    <xf numFmtId="0" fontId="13" fillId="0" borderId="1" xfId="0" applyFont="1" applyBorder="1" applyAlignment="1">
      <alignment horizontal="left"/>
    </xf>
    <xf numFmtId="0" fontId="4" fillId="0" borderId="1" xfId="0" applyFont="1" applyBorder="1" applyAlignment="1">
      <alignment horizontal="justify"/>
    </xf>
    <xf numFmtId="0" fontId="43" fillId="0" borderId="1" xfId="0" applyFont="1" applyBorder="1" applyAlignment="1">
      <alignment horizontal="left"/>
    </xf>
    <xf numFmtId="0" fontId="106" fillId="0" borderId="1" xfId="0" applyFont="1" applyBorder="1" applyAlignment="1">
      <alignment horizontal="left"/>
    </xf>
    <xf numFmtId="0" fontId="5" fillId="0" borderId="1" xfId="0" applyFont="1" applyBorder="1" applyAlignment="1">
      <alignment horizontal="center" vertical="center" textRotation="90"/>
    </xf>
    <xf numFmtId="0" fontId="22" fillId="0" borderId="1" xfId="0" applyFont="1" applyBorder="1" applyAlignment="1">
      <alignment horizontal="center" vertical="center"/>
    </xf>
    <xf numFmtId="0" fontId="22" fillId="0" borderId="30" xfId="0" applyFont="1" applyBorder="1" applyAlignment="1">
      <alignment horizontal="center" vertical="center"/>
    </xf>
    <xf numFmtId="0" fontId="0" fillId="0" borderId="62" xfId="0" applyBorder="1" applyAlignment="1">
      <alignment horizontal="center"/>
    </xf>
    <xf numFmtId="0" fontId="104" fillId="0" borderId="48" xfId="0" applyFont="1" applyBorder="1" applyAlignment="1">
      <alignment horizontal="center" vertical="center" textRotation="85"/>
    </xf>
    <xf numFmtId="0" fontId="104" fillId="0" borderId="72" xfId="0" applyFont="1" applyBorder="1" applyAlignment="1">
      <alignment horizontal="center" vertical="center" textRotation="85"/>
    </xf>
    <xf numFmtId="0" fontId="104" fillId="0" borderId="108" xfId="0" applyFont="1" applyBorder="1" applyAlignment="1">
      <alignment horizontal="center" vertical="center" textRotation="85"/>
    </xf>
    <xf numFmtId="0" fontId="104" fillId="0" borderId="73" xfId="0" applyFont="1" applyBorder="1" applyAlignment="1">
      <alignment horizontal="center" vertical="center" textRotation="85"/>
    </xf>
    <xf numFmtId="0" fontId="104" fillId="0" borderId="52" xfId="0" applyFont="1" applyBorder="1" applyAlignment="1">
      <alignment horizontal="center" vertical="center" textRotation="85"/>
    </xf>
    <xf numFmtId="0" fontId="104" fillId="0" borderId="60" xfId="0" applyFont="1" applyBorder="1" applyAlignment="1">
      <alignment horizontal="center" vertical="center" textRotation="85"/>
    </xf>
    <xf numFmtId="0" fontId="22" fillId="0" borderId="5" xfId="0" applyFont="1" applyBorder="1" applyAlignment="1">
      <alignment horizontal="center" vertical="center"/>
    </xf>
    <xf numFmtId="0" fontId="22" fillId="0" borderId="34" xfId="0" applyFont="1" applyBorder="1" applyAlignment="1">
      <alignment horizontal="center" vertical="center"/>
    </xf>
    <xf numFmtId="0" fontId="105" fillId="0" borderId="48" xfId="0" applyFont="1" applyBorder="1" applyAlignment="1">
      <alignment horizontal="left" vertical="center" indent="3"/>
    </xf>
    <xf numFmtId="0" fontId="105" fillId="0" borderId="72" xfId="0" applyFont="1" applyBorder="1" applyAlignment="1">
      <alignment horizontal="left" vertical="center" indent="3"/>
    </xf>
    <xf numFmtId="0" fontId="105" fillId="0" borderId="41" xfId="0" applyFont="1" applyBorder="1" applyAlignment="1">
      <alignment horizontal="left" vertical="center" indent="3"/>
    </xf>
    <xf numFmtId="0" fontId="22" fillId="0" borderId="54" xfId="0" applyFont="1" applyBorder="1" applyAlignment="1">
      <alignment horizontal="center" vertical="center"/>
    </xf>
    <xf numFmtId="0" fontId="5" fillId="0" borderId="3" xfId="0" applyFont="1" applyBorder="1" applyAlignment="1">
      <alignment horizontal="center" vertical="center"/>
    </xf>
    <xf numFmtId="0" fontId="5" fillId="0" borderId="33" xfId="0" applyFont="1" applyBorder="1" applyAlignment="1">
      <alignment horizontal="center" vertical="center"/>
    </xf>
    <xf numFmtId="166" fontId="2" fillId="0" borderId="5" xfId="5" applyFont="1" applyBorder="1" applyAlignment="1">
      <alignment horizontal="left" indent="3"/>
    </xf>
    <xf numFmtId="0" fontId="0" fillId="0" borderId="34" xfId="0" applyBorder="1" applyAlignment="1">
      <alignment horizontal="center"/>
    </xf>
    <xf numFmtId="0" fontId="0" fillId="0" borderId="24" xfId="0" applyBorder="1" applyAlignment="1">
      <alignment horizontal="center"/>
    </xf>
    <xf numFmtId="0" fontId="0" fillId="0" borderId="1" xfId="0" applyBorder="1" applyAlignment="1">
      <alignment horizontal="center"/>
    </xf>
    <xf numFmtId="166" fontId="2" fillId="0" borderId="1" xfId="5" applyFont="1" applyBorder="1" applyAlignment="1">
      <alignment horizontal="left"/>
    </xf>
    <xf numFmtId="166" fontId="2" fillId="0" borderId="1" xfId="5" applyBorder="1" applyAlignment="1">
      <alignment horizontal="left"/>
    </xf>
    <xf numFmtId="166" fontId="18" fillId="0" borderId="1" xfId="5" applyFont="1" applyBorder="1" applyAlignment="1">
      <alignment horizontal="left"/>
    </xf>
    <xf numFmtId="0" fontId="5" fillId="0" borderId="83" xfId="0" applyFont="1" applyBorder="1" applyAlignment="1">
      <alignment horizontal="center"/>
    </xf>
    <xf numFmtId="0" fontId="5" fillId="0" borderId="84" xfId="0" applyFont="1" applyBorder="1" applyAlignment="1">
      <alignment horizontal="center"/>
    </xf>
    <xf numFmtId="166" fontId="2" fillId="0" borderId="3" xfId="5" applyFont="1" applyBorder="1" applyAlignment="1">
      <alignment horizontal="left"/>
    </xf>
    <xf numFmtId="166" fontId="2" fillId="0" borderId="3" xfId="5" applyBorder="1" applyAlignment="1">
      <alignment horizontal="left"/>
    </xf>
    <xf numFmtId="0" fontId="0" fillId="0" borderId="3" xfId="0" applyBorder="1" applyAlignment="1">
      <alignment horizontal="center"/>
    </xf>
    <xf numFmtId="0" fontId="22" fillId="0" borderId="0" xfId="0" applyFont="1" applyAlignment="1">
      <alignment horizontal="center"/>
    </xf>
    <xf numFmtId="166" fontId="2" fillId="0" borderId="5" xfId="5" applyFont="1" applyBorder="1" applyAlignment="1">
      <alignment horizontal="left"/>
    </xf>
    <xf numFmtId="166" fontId="2" fillId="0" borderId="5" xfId="5" applyBorder="1" applyAlignment="1">
      <alignment horizontal="left"/>
    </xf>
    <xf numFmtId="166" fontId="2" fillId="0" borderId="0" xfId="5" applyFont="1" applyAlignment="1">
      <alignment horizontal="left"/>
    </xf>
    <xf numFmtId="166" fontId="2" fillId="0" borderId="0" xfId="5" applyAlignment="1">
      <alignment horizontal="left"/>
    </xf>
    <xf numFmtId="0" fontId="0" fillId="0" borderId="5" xfId="0" applyBorder="1" applyAlignment="1">
      <alignment horizontal="center"/>
    </xf>
    <xf numFmtId="0" fontId="0" fillId="0" borderId="2" xfId="0" applyBorder="1" applyAlignment="1">
      <alignment horizontal="center"/>
    </xf>
    <xf numFmtId="0" fontId="0" fillId="0" borderId="7" xfId="0" applyBorder="1" applyAlignment="1">
      <alignment horizontal="center"/>
    </xf>
    <xf numFmtId="0" fontId="68" fillId="0" borderId="0" xfId="0" applyFont="1" applyAlignment="1">
      <alignment horizontal="center" wrapText="1"/>
    </xf>
    <xf numFmtId="175" fontId="27" fillId="0" borderId="0" xfId="5" applyNumberFormat="1" applyFont="1" applyBorder="1" applyAlignment="1">
      <alignment horizontal="left" indent="1"/>
    </xf>
    <xf numFmtId="170" fontId="60" fillId="0" borderId="1" xfId="0" applyNumberFormat="1" applyFont="1" applyBorder="1" applyAlignment="1">
      <alignment horizontal="center"/>
    </xf>
    <xf numFmtId="0" fontId="4" fillId="0" borderId="1" xfId="0" applyFont="1" applyBorder="1" applyAlignment="1">
      <alignment horizontal="center"/>
    </xf>
    <xf numFmtId="0" fontId="0" fillId="0" borderId="58" xfId="0" applyBorder="1" applyAlignment="1">
      <alignment horizontal="center"/>
    </xf>
    <xf numFmtId="0" fontId="0" fillId="0" borderId="19" xfId="0" applyBorder="1" applyAlignment="1">
      <alignment horizontal="center"/>
    </xf>
    <xf numFmtId="0" fontId="51" fillId="0" borderId="35" xfId="0" applyFont="1" applyBorder="1" applyAlignment="1">
      <alignment horizontal="justify"/>
    </xf>
    <xf numFmtId="0" fontId="51" fillId="0" borderId="37" xfId="0" applyFont="1" applyBorder="1" applyAlignment="1">
      <alignment horizontal="justify"/>
    </xf>
    <xf numFmtId="0" fontId="51" fillId="0" borderId="28" xfId="0" applyFont="1" applyBorder="1" applyAlignment="1">
      <alignment horizontal="justify"/>
    </xf>
    <xf numFmtId="0" fontId="51" fillId="0" borderId="18" xfId="0" applyFont="1" applyBorder="1" applyAlignment="1">
      <alignment horizontal="justify"/>
    </xf>
    <xf numFmtId="4" fontId="66" fillId="0" borderId="1" xfId="0" applyNumberFormat="1" applyFont="1" applyBorder="1" applyAlignment="1">
      <alignment horizontal="center"/>
    </xf>
    <xf numFmtId="0" fontId="66" fillId="0" borderId="1" xfId="0" applyFont="1" applyBorder="1" applyAlignment="1">
      <alignment horizontal="center"/>
    </xf>
    <xf numFmtId="0" fontId="51" fillId="0" borderId="1" xfId="0" applyFont="1" applyBorder="1" applyAlignment="1">
      <alignment horizontal="justify"/>
    </xf>
    <xf numFmtId="0" fontId="63" fillId="0" borderId="0" xfId="0" applyFont="1" applyAlignment="1">
      <alignment horizontal="justify" vertical="top"/>
    </xf>
    <xf numFmtId="4" fontId="45" fillId="0" borderId="47" xfId="0" applyNumberFormat="1" applyFont="1" applyBorder="1" applyAlignment="1">
      <alignment horizontal="center" vertical="center"/>
    </xf>
    <xf numFmtId="4" fontId="45" fillId="0" borderId="19" xfId="0" applyNumberFormat="1" applyFont="1" applyBorder="1" applyAlignment="1">
      <alignment horizontal="center" vertical="center"/>
    </xf>
    <xf numFmtId="4" fontId="51" fillId="0" borderId="47" xfId="0" applyNumberFormat="1" applyFont="1" applyBorder="1" applyAlignment="1">
      <alignment horizontal="center" vertical="center"/>
    </xf>
    <xf numFmtId="4" fontId="51" fillId="0" borderId="19" xfId="0" applyNumberFormat="1" applyFont="1" applyBorder="1" applyAlignment="1">
      <alignment horizontal="center" vertical="center"/>
    </xf>
    <xf numFmtId="4" fontId="89" fillId="0" borderId="152" xfId="0" applyNumberFormat="1" applyFont="1" applyBorder="1" applyAlignment="1">
      <alignment horizontal="center" vertical="center"/>
    </xf>
    <xf numFmtId="4" fontId="89" fillId="0" borderId="9" xfId="0" applyNumberFormat="1" applyFont="1" applyBorder="1" applyAlignment="1">
      <alignment horizontal="center" vertical="center"/>
    </xf>
    <xf numFmtId="4" fontId="89" fillId="0" borderId="59" xfId="0" applyNumberFormat="1" applyFont="1" applyBorder="1" applyAlignment="1">
      <alignment horizontal="center" vertical="center"/>
    </xf>
    <xf numFmtId="4" fontId="89" fillId="0" borderId="20" xfId="0" applyNumberFormat="1" applyFont="1" applyBorder="1" applyAlignment="1">
      <alignment horizontal="center" vertical="center"/>
    </xf>
    <xf numFmtId="4" fontId="89" fillId="0" borderId="6" xfId="0" applyNumberFormat="1" applyFont="1" applyBorder="1" applyAlignment="1">
      <alignment horizontal="center" vertical="center"/>
    </xf>
    <xf numFmtId="0" fontId="0" fillId="0" borderId="51" xfId="0" applyBorder="1" applyAlignment="1">
      <alignment horizontal="center"/>
    </xf>
    <xf numFmtId="0" fontId="0" fillId="0" borderId="32" xfId="0" applyBorder="1" applyAlignment="1">
      <alignment horizontal="center"/>
    </xf>
    <xf numFmtId="0" fontId="0" fillId="0" borderId="8" xfId="0" applyBorder="1" applyAlignment="1">
      <alignment horizontal="center"/>
    </xf>
    <xf numFmtId="0" fontId="60" fillId="0" borderId="0" xfId="0" applyFont="1" applyAlignment="1">
      <alignment horizontal="justify" vertical="top"/>
    </xf>
    <xf numFmtId="0" fontId="60" fillId="0" borderId="1" xfId="0" applyFont="1" applyBorder="1" applyAlignment="1">
      <alignment horizontal="center"/>
    </xf>
    <xf numFmtId="0" fontId="51" fillId="0" borderId="0" xfId="0" applyFont="1" applyAlignment="1">
      <alignment horizontal="left"/>
    </xf>
    <xf numFmtId="0" fontId="0" fillId="0" borderId="49" xfId="0" applyBorder="1" applyAlignment="1">
      <alignment horizontal="center"/>
    </xf>
    <xf numFmtId="0" fontId="60" fillId="0" borderId="0" xfId="0" applyFont="1" applyAlignment="1">
      <alignment horizontal="justify"/>
    </xf>
    <xf numFmtId="0" fontId="51" fillId="0" borderId="107" xfId="0" applyFont="1" applyBorder="1" applyAlignment="1">
      <alignment horizontal="right"/>
    </xf>
    <xf numFmtId="0" fontId="51" fillId="0" borderId="46" xfId="0" applyFont="1" applyBorder="1" applyAlignment="1">
      <alignment horizontal="right"/>
    </xf>
    <xf numFmtId="0" fontId="77" fillId="0" borderId="0" xfId="0" applyFont="1" applyAlignment="1">
      <alignment horizontal="justify" vertical="top"/>
    </xf>
    <xf numFmtId="170" fontId="77" fillId="0" borderId="1" xfId="0" applyNumberFormat="1" applyFont="1" applyBorder="1" applyAlignment="1">
      <alignment horizontal="center"/>
    </xf>
    <xf numFmtId="0" fontId="78" fillId="0" borderId="1" xfId="0" applyFont="1" applyBorder="1" applyAlignment="1">
      <alignment horizontal="justify"/>
    </xf>
    <xf numFmtId="4" fontId="78" fillId="0" borderId="47" xfId="0" applyNumberFormat="1" applyFont="1" applyBorder="1" applyAlignment="1">
      <alignment horizontal="center" vertical="center"/>
    </xf>
    <xf numFmtId="4" fontId="78" fillId="0" borderId="19" xfId="0" applyNumberFormat="1" applyFont="1" applyBorder="1" applyAlignment="1">
      <alignment horizontal="center" vertical="center"/>
    </xf>
    <xf numFmtId="0" fontId="78" fillId="0" borderId="35" xfId="0" applyFont="1" applyBorder="1" applyAlignment="1">
      <alignment horizontal="center" vertical="center"/>
    </xf>
    <xf numFmtId="0" fontId="78" fillId="0" borderId="37" xfId="0" applyFont="1" applyBorder="1" applyAlignment="1">
      <alignment horizontal="center" vertical="center"/>
    </xf>
    <xf numFmtId="0" fontId="78" fillId="0" borderId="28" xfId="0" applyFont="1" applyBorder="1" applyAlignment="1">
      <alignment horizontal="center" vertical="center"/>
    </xf>
    <xf numFmtId="0" fontId="78" fillId="0" borderId="18" xfId="0" applyFont="1" applyBorder="1" applyAlignment="1">
      <alignment horizontal="center" vertical="center"/>
    </xf>
    <xf numFmtId="4" fontId="81" fillId="0" borderId="47" xfId="0" applyNumberFormat="1" applyFont="1" applyBorder="1" applyAlignment="1">
      <alignment horizontal="center" vertical="center"/>
    </xf>
    <xf numFmtId="4" fontId="81" fillId="0" borderId="19" xfId="0" applyNumberFormat="1" applyFont="1" applyBorder="1" applyAlignment="1">
      <alignment horizontal="center" vertical="center"/>
    </xf>
    <xf numFmtId="4" fontId="88" fillId="0" borderId="35" xfId="0" applyNumberFormat="1" applyFont="1" applyBorder="1" applyAlignment="1">
      <alignment horizontal="center" vertical="center"/>
    </xf>
    <xf numFmtId="0" fontId="88" fillId="0" borderId="37" xfId="0" applyFont="1" applyBorder="1" applyAlignment="1">
      <alignment horizontal="center" vertical="center"/>
    </xf>
    <xf numFmtId="0" fontId="88" fillId="0" borderId="28" xfId="0" applyFont="1" applyBorder="1" applyAlignment="1">
      <alignment horizontal="center" vertical="center"/>
    </xf>
    <xf numFmtId="0" fontId="88" fillId="0" borderId="18" xfId="0" applyFont="1" applyBorder="1" applyAlignment="1">
      <alignment horizontal="center" vertical="center"/>
    </xf>
    <xf numFmtId="0" fontId="0" fillId="0" borderId="4" xfId="0" applyBorder="1" applyAlignment="1">
      <alignment horizontal="center"/>
    </xf>
    <xf numFmtId="0" fontId="10" fillId="0" borderId="1" xfId="0" applyFont="1" applyBorder="1" applyAlignment="1">
      <alignment horizontal="justify"/>
    </xf>
    <xf numFmtId="0" fontId="10" fillId="0" borderId="5" xfId="0" applyFont="1" applyBorder="1" applyAlignment="1">
      <alignment horizontal="justify"/>
    </xf>
    <xf numFmtId="4" fontId="89" fillId="0" borderId="65" xfId="0" applyNumberFormat="1" applyFont="1" applyBorder="1" applyAlignment="1">
      <alignment horizontal="center" vertical="center"/>
    </xf>
    <xf numFmtId="4" fontId="89" fillId="0" borderId="12" xfId="0" applyNumberFormat="1" applyFont="1" applyBorder="1" applyAlignment="1">
      <alignment horizontal="center" vertical="center"/>
    </xf>
    <xf numFmtId="4" fontId="89" fillId="0" borderId="153" xfId="0" applyNumberFormat="1" applyFont="1" applyBorder="1" applyAlignment="1">
      <alignment horizontal="center" vertical="center"/>
    </xf>
    <xf numFmtId="0" fontId="22" fillId="0" borderId="1" xfId="0" applyFont="1" applyBorder="1" applyAlignment="1">
      <alignment horizontal="justify"/>
    </xf>
    <xf numFmtId="0" fontId="77" fillId="0" borderId="1" xfId="0" applyFont="1" applyBorder="1" applyAlignment="1">
      <alignment horizontal="center"/>
    </xf>
    <xf numFmtId="0" fontId="84" fillId="0" borderId="0" xfId="0" applyFont="1" applyAlignment="1">
      <alignment horizontal="justify" vertical="top"/>
    </xf>
    <xf numFmtId="0" fontId="78" fillId="0" borderId="107" xfId="0" applyFont="1" applyBorder="1" applyAlignment="1">
      <alignment horizontal="right"/>
    </xf>
    <xf numFmtId="0" fontId="78" fillId="0" borderId="46" xfId="0" applyFont="1" applyBorder="1" applyAlignment="1">
      <alignment horizontal="right"/>
    </xf>
    <xf numFmtId="0" fontId="77" fillId="0" borderId="0" xfId="0" applyFont="1" applyAlignment="1">
      <alignment horizontal="justify"/>
    </xf>
    <xf numFmtId="4" fontId="22" fillId="0" borderId="47" xfId="0" applyNumberFormat="1" applyFont="1" applyBorder="1" applyAlignment="1">
      <alignment horizontal="center" vertical="center"/>
    </xf>
    <xf numFmtId="4" fontId="22" fillId="0" borderId="19" xfId="0" applyNumberFormat="1" applyFont="1" applyBorder="1" applyAlignment="1">
      <alignment horizontal="center" vertical="center"/>
    </xf>
    <xf numFmtId="0" fontId="22" fillId="0" borderId="35" xfId="0" applyFont="1" applyBorder="1" applyAlignment="1">
      <alignment horizontal="center" vertical="center"/>
    </xf>
    <xf numFmtId="0" fontId="22" fillId="0" borderId="37" xfId="0" applyFont="1" applyBorder="1" applyAlignment="1">
      <alignment horizontal="center" vertical="center"/>
    </xf>
    <xf numFmtId="0" fontId="22" fillId="0" borderId="28" xfId="0" applyFont="1" applyBorder="1" applyAlignment="1">
      <alignment horizontal="center" vertical="center"/>
    </xf>
    <xf numFmtId="0" fontId="22" fillId="0" borderId="18" xfId="0" applyFont="1" applyBorder="1" applyAlignment="1">
      <alignment horizontal="center" vertical="center"/>
    </xf>
    <xf numFmtId="0" fontId="78" fillId="0" borderId="0" xfId="0" applyFont="1" applyAlignment="1">
      <alignment horizontal="left"/>
    </xf>
    <xf numFmtId="0" fontId="0" fillId="0" borderId="47" xfId="0" applyBorder="1" applyAlignment="1">
      <alignment horizontal="center"/>
    </xf>
    <xf numFmtId="0" fontId="54" fillId="0" borderId="0" xfId="0" applyFont="1" applyAlignment="1">
      <alignment horizontal="justify" vertical="top"/>
    </xf>
    <xf numFmtId="4" fontId="58" fillId="0" borderId="0" xfId="0" applyNumberFormat="1" applyFont="1" applyBorder="1" applyAlignment="1">
      <alignment horizontal="center" vertical="center"/>
    </xf>
    <xf numFmtId="170" fontId="0" fillId="0" borderId="1" xfId="0" applyNumberFormat="1" applyBorder="1" applyAlignment="1">
      <alignment horizontal="center"/>
    </xf>
    <xf numFmtId="0" fontId="93" fillId="0" borderId="7" xfId="0" applyFont="1" applyBorder="1" applyAlignment="1">
      <alignment horizontal="justify"/>
    </xf>
    <xf numFmtId="0" fontId="31" fillId="0" borderId="9" xfId="0" applyFont="1" applyBorder="1" applyAlignment="1">
      <alignment horizontal="justify"/>
    </xf>
    <xf numFmtId="0" fontId="31" fillId="0" borderId="6" xfId="0" applyFont="1" applyBorder="1" applyAlignment="1">
      <alignment horizontal="justify"/>
    </xf>
    <xf numFmtId="0" fontId="5" fillId="0" borderId="0" xfId="0" applyFont="1" applyAlignment="1">
      <alignment horizontal="center"/>
    </xf>
    <xf numFmtId="0" fontId="0" fillId="0" borderId="5" xfId="0" applyBorder="1" applyAlignment="1">
      <alignment horizontal="left"/>
    </xf>
    <xf numFmtId="0" fontId="22" fillId="0" borderId="0" xfId="0" applyFont="1" applyAlignment="1">
      <alignment horizontal="left"/>
    </xf>
    <xf numFmtId="0" fontId="22" fillId="0" borderId="107" xfId="0" applyFont="1" applyBorder="1" applyAlignment="1">
      <alignment horizontal="right"/>
    </xf>
    <xf numFmtId="0" fontId="22" fillId="0" borderId="46" xfId="0" applyFont="1" applyBorder="1" applyAlignment="1">
      <alignment horizontal="right"/>
    </xf>
    <xf numFmtId="0" fontId="0" fillId="0" borderId="0" xfId="0" applyAlignment="1">
      <alignment horizontal="justify"/>
    </xf>
    <xf numFmtId="0" fontId="26" fillId="0" borderId="0" xfId="0" applyFont="1" applyBorder="1" applyAlignment="1">
      <alignment horizontal="justify"/>
    </xf>
    <xf numFmtId="4" fontId="8" fillId="0" borderId="47" xfId="0" applyNumberFormat="1" applyFont="1" applyBorder="1" applyAlignment="1">
      <alignment horizontal="center" vertical="center"/>
    </xf>
    <xf numFmtId="4" fontId="8" fillId="0" borderId="19" xfId="0" applyNumberFormat="1" applyFont="1" applyBorder="1" applyAlignment="1">
      <alignment horizontal="center" vertical="center"/>
    </xf>
    <xf numFmtId="4" fontId="57" fillId="0" borderId="35" xfId="0" applyNumberFormat="1" applyFont="1" applyBorder="1" applyAlignment="1">
      <alignment horizontal="center" vertical="center"/>
    </xf>
    <xf numFmtId="0" fontId="57" fillId="0" borderId="37" xfId="0" applyFont="1" applyBorder="1" applyAlignment="1">
      <alignment horizontal="center" vertical="center"/>
    </xf>
    <xf numFmtId="0" fontId="57" fillId="0" borderId="28" xfId="0" applyFont="1" applyBorder="1" applyAlignment="1">
      <alignment horizontal="center" vertical="center"/>
    </xf>
    <xf numFmtId="0" fontId="57" fillId="0" borderId="18" xfId="0" applyFont="1" applyBorder="1" applyAlignment="1">
      <alignment horizontal="center" vertical="center"/>
    </xf>
    <xf numFmtId="0" fontId="5" fillId="0" borderId="0" xfId="0" applyFont="1" applyBorder="1" applyAlignment="1">
      <alignment horizontal="center"/>
    </xf>
    <xf numFmtId="0" fontId="10" fillId="0" borderId="0" xfId="0" applyFont="1" applyBorder="1" applyAlignment="1">
      <alignment horizontal="justify"/>
    </xf>
    <xf numFmtId="0" fontId="0" fillId="0" borderId="0" xfId="0" applyBorder="1" applyAlignment="1">
      <alignment horizontal="left"/>
    </xf>
    <xf numFmtId="0" fontId="206" fillId="0" borderId="29" xfId="0" applyFont="1" applyBorder="1" applyAlignment="1">
      <alignment horizontal="center" vertical="center"/>
    </xf>
    <xf numFmtId="0" fontId="253" fillId="0" borderId="0" xfId="0" applyFont="1" applyAlignment="1">
      <alignment horizontal="center" wrapText="1"/>
    </xf>
    <xf numFmtId="0" fontId="253" fillId="0" borderId="0" xfId="0" applyFont="1" applyAlignment="1">
      <alignment wrapText="1"/>
    </xf>
    <xf numFmtId="0" fontId="253" fillId="0" borderId="0" xfId="0" applyFont="1" applyAlignment="1">
      <alignment horizontal="center" vertical="top" wrapText="1"/>
    </xf>
    <xf numFmtId="0" fontId="183" fillId="0" borderId="0" xfId="0" applyFont="1" applyAlignment="1">
      <alignment horizontal="center" vertical="top" wrapText="1"/>
    </xf>
    <xf numFmtId="0" fontId="254" fillId="0" borderId="0" xfId="0" applyFont="1" applyAlignment="1">
      <alignment horizontal="center" vertical="top" wrapText="1"/>
    </xf>
    <xf numFmtId="0" fontId="255" fillId="0" borderId="0" xfId="0" applyFont="1" applyAlignment="1">
      <alignment horizontal="center" vertical="top" wrapText="1"/>
    </xf>
    <xf numFmtId="22" fontId="0" fillId="0" borderId="0" xfId="0" applyNumberFormat="1" applyAlignment="1">
      <alignment horizontal="center"/>
    </xf>
  </cellXfs>
  <cellStyles count="11">
    <cellStyle name="Diseño" xfId="1"/>
    <cellStyle name="Euro" xfId="2"/>
    <cellStyle name="Euro_INSPECCION DE REMOLCADORES TRANSCOSTA S A C " xfId="3"/>
    <cellStyle name="Hipervínculo" xfId="4" builtinId="8"/>
    <cellStyle name="Millares" xfId="5" builtinId="3"/>
    <cellStyle name="Millares_INSPECCION DE REMOLCADORES TRANSCOSTA S A C " xfId="6"/>
    <cellStyle name="Moneda" xfId="7" builtinId="4"/>
    <cellStyle name="Normal" xfId="0" builtinId="0"/>
    <cellStyle name="Normal 2" xfId="10"/>
    <cellStyle name="Normal_lista de contactos 09-03-2011" xfId="8"/>
    <cellStyle name="Porcentual" xfId="9" builtinId="5"/>
  </cellStyles>
  <dxfs count="25">
    <dxf>
      <font>
        <b val="0"/>
        <i/>
        <condense val="0"/>
        <extend val="0"/>
        <color indexed="10"/>
      </font>
    </dxf>
    <dxf>
      <font>
        <b val="0"/>
        <i/>
        <condense val="0"/>
        <extend val="0"/>
        <color indexed="22"/>
      </font>
    </dxf>
    <dxf>
      <font>
        <b/>
        <i/>
        <condense val="0"/>
        <extend val="0"/>
        <color indexed="46"/>
      </font>
      <fill>
        <patternFill patternType="gray0625">
          <bgColor indexed="26"/>
        </patternFill>
      </fill>
      <border>
        <left style="thin">
          <color indexed="64"/>
        </left>
        <right style="thin">
          <color indexed="64"/>
        </right>
        <top style="thin">
          <color indexed="64"/>
        </top>
        <bottom style="thin">
          <color indexed="64"/>
        </bottom>
      </border>
    </dxf>
    <dxf>
      <font>
        <b/>
        <i/>
        <condense val="0"/>
        <extend val="0"/>
        <color indexed="10"/>
      </font>
    </dxf>
    <dxf>
      <font>
        <b val="0"/>
        <i/>
        <condense val="0"/>
        <extend val="0"/>
        <color indexed="39"/>
      </font>
    </dxf>
    <dxf>
      <font>
        <b/>
        <i/>
        <condense val="0"/>
        <extend val="0"/>
        <color indexed="61"/>
      </font>
      <fill>
        <patternFill patternType="gray0625">
          <bgColor indexed="26"/>
        </patternFill>
      </fill>
      <border>
        <left style="thin">
          <color indexed="64"/>
        </left>
        <right style="thin">
          <color indexed="64"/>
        </right>
        <top style="thin">
          <color indexed="64"/>
        </top>
        <bottom style="thin">
          <color indexed="64"/>
        </bottom>
      </border>
    </dxf>
    <dxf>
      <font>
        <b val="0"/>
        <i/>
        <condense val="0"/>
        <extend val="0"/>
        <color indexed="45"/>
      </font>
    </dxf>
    <dxf>
      <font>
        <b val="0"/>
        <i/>
        <condense val="0"/>
        <extend val="0"/>
        <color indexed="10"/>
      </font>
      <fill>
        <patternFill>
          <bgColor indexed="34"/>
        </patternFill>
      </fill>
      <border>
        <left style="thin">
          <color indexed="10"/>
        </left>
        <right style="thin">
          <color indexed="10"/>
        </right>
        <top style="thin">
          <color indexed="10"/>
        </top>
        <bottom style="thin">
          <color indexed="10"/>
        </bottom>
      </border>
    </dxf>
    <dxf>
      <font>
        <b/>
        <i/>
        <condense val="0"/>
        <extend val="0"/>
        <color indexed="10"/>
      </font>
      <fill>
        <patternFill>
          <bgColor indexed="13"/>
        </patternFill>
      </fill>
      <border>
        <left style="thin">
          <color indexed="10"/>
        </left>
        <right style="thin">
          <color indexed="10"/>
        </right>
        <top style="thin">
          <color indexed="10"/>
        </top>
        <bottom style="thin">
          <color indexed="10"/>
        </bottom>
      </border>
    </dxf>
    <dxf>
      <font>
        <b/>
        <i val="0"/>
        <condense val="0"/>
        <extend val="0"/>
        <color indexed="39"/>
      </font>
    </dxf>
    <dxf>
      <font>
        <b/>
        <i/>
        <condense val="0"/>
        <extend val="0"/>
        <color indexed="61"/>
      </font>
      <fill>
        <patternFill patternType="gray0625">
          <bgColor indexed="26"/>
        </patternFill>
      </fill>
      <border>
        <left style="thin">
          <color indexed="64"/>
        </left>
        <right style="thin">
          <color indexed="64"/>
        </right>
        <top style="thin">
          <color indexed="64"/>
        </top>
        <bottom style="thin">
          <color indexed="64"/>
        </bottom>
      </border>
    </dxf>
    <dxf>
      <font>
        <b/>
        <i/>
        <condense val="0"/>
        <extend val="0"/>
        <color indexed="10"/>
      </font>
    </dxf>
    <dxf>
      <font>
        <b val="0"/>
        <i/>
        <condense val="0"/>
        <extend val="0"/>
        <color indexed="39"/>
      </font>
    </dxf>
    <dxf>
      <font>
        <b/>
        <i/>
        <condense val="0"/>
        <extend val="0"/>
        <color indexed="61"/>
      </font>
      <fill>
        <patternFill patternType="gray0625">
          <bgColor indexed="26"/>
        </patternFill>
      </fill>
      <border>
        <left style="thin">
          <color indexed="64"/>
        </left>
        <right style="thin">
          <color indexed="64"/>
        </right>
        <top style="thin">
          <color indexed="64"/>
        </top>
        <bottom style="thin">
          <color indexed="64"/>
        </bottom>
      </border>
    </dxf>
    <dxf>
      <font>
        <b/>
        <i/>
        <condense val="0"/>
        <extend val="0"/>
        <color indexed="10"/>
      </font>
    </dxf>
    <dxf>
      <font>
        <b val="0"/>
        <i val="0"/>
        <color theme="0" tint="-4.9989318521683403E-2"/>
      </font>
    </dxf>
    <dxf>
      <font>
        <b val="0"/>
        <i/>
        <condense val="0"/>
        <extend val="0"/>
        <color indexed="39"/>
      </font>
    </dxf>
    <dxf>
      <font>
        <b/>
        <i/>
        <condense val="0"/>
        <extend val="0"/>
        <color indexed="61"/>
      </font>
      <fill>
        <patternFill patternType="none">
          <bgColor auto="1"/>
        </patternFill>
      </fill>
      <border>
        <left style="thin">
          <color indexed="64"/>
        </left>
        <right style="thin">
          <color indexed="64"/>
        </right>
        <top style="thin">
          <color indexed="64"/>
        </top>
        <bottom style="thin">
          <color indexed="64"/>
        </bottom>
      </border>
    </dxf>
    <dxf>
      <font>
        <b/>
        <i/>
        <condense val="0"/>
        <extend val="0"/>
        <color indexed="10"/>
      </font>
    </dxf>
    <dxf>
      <font>
        <b val="0"/>
        <i/>
        <condense val="0"/>
        <extend val="0"/>
        <color indexed="10"/>
      </font>
      <fill>
        <patternFill>
          <bgColor indexed="26"/>
        </patternFill>
      </fill>
      <border>
        <left style="thin">
          <color indexed="10"/>
        </left>
        <right style="thin">
          <color indexed="10"/>
        </right>
        <top style="thin">
          <color indexed="10"/>
        </top>
        <bottom style="thin">
          <color indexed="10"/>
        </bottom>
      </border>
    </dxf>
    <dxf>
      <font>
        <b val="0"/>
        <i/>
        <condense val="0"/>
        <extend val="0"/>
        <color indexed="39"/>
      </font>
    </dxf>
    <dxf>
      <font>
        <b/>
        <i/>
        <condense val="0"/>
        <extend val="0"/>
        <color indexed="61"/>
      </font>
      <fill>
        <patternFill patternType="gray0625">
          <bgColor indexed="26"/>
        </patternFill>
      </fill>
      <border>
        <left style="thin">
          <color indexed="64"/>
        </left>
        <right style="thin">
          <color indexed="64"/>
        </right>
        <top style="thin">
          <color indexed="64"/>
        </top>
        <bottom style="thin">
          <color indexed="64"/>
        </bottom>
      </border>
    </dxf>
    <dxf>
      <font>
        <b/>
        <i/>
        <condense val="0"/>
        <extend val="0"/>
        <color indexed="10"/>
      </font>
    </dxf>
    <dxf>
      <font>
        <b/>
        <i/>
        <strike val="0"/>
        <condense val="0"/>
        <extend val="0"/>
        <color indexed="10"/>
      </font>
    </dxf>
    <dxf>
      <font>
        <b/>
        <i/>
        <condense val="0"/>
        <extend val="0"/>
        <color indexed="12"/>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FFCC"/>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CCFF"/>
      <color rgb="FFCC0000"/>
      <color rgb="FF00CC00"/>
      <color rgb="FF00D000"/>
      <color rgb="FF007E00"/>
      <color rgb="FFFFFFCC"/>
      <color rgb="FF00CC99"/>
      <color rgb="FF0000FF"/>
      <color rgb="FFFF0066"/>
      <color rgb="FF0033CC"/>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5512D11C-5CC6-11CF-8D67-00AA00BDCE1D}" ax:persistence="persistStream" r:id="rId1"/>
</file>

<file path=xl/activeX/activeX2.xml><?xml version="1.0" encoding="utf-8"?>
<ax:ocx xmlns:ax="http://schemas.microsoft.com/office/2006/activeX" xmlns:r="http://schemas.openxmlformats.org/officeDocument/2006/relationships" ax:classid="{5512D11C-5CC6-11CF-8D67-00AA00BDCE1D}" ax:persistence="persistStream" r:id="rId1"/>
</file>

<file path=xl/drawings/_rels/drawing10.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image" Target="../media/image10.png"/><Relationship Id="rId4" Type="http://schemas.openxmlformats.org/officeDocument/2006/relationships/image" Target="../media/image9.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9.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16.emf"/><Relationship Id="rId1" Type="http://schemas.openxmlformats.org/officeDocument/2006/relationships/image" Target="../media/image15.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7.emf"/></Relationships>
</file>

<file path=xl/drawings/_rels/vmlDrawing7.v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7</xdr:col>
      <xdr:colOff>38100</xdr:colOff>
      <xdr:row>13</xdr:row>
      <xdr:rowOff>47625</xdr:rowOff>
    </xdr:from>
    <xdr:to>
      <xdr:col>9</xdr:col>
      <xdr:colOff>67800</xdr:colOff>
      <xdr:row>17</xdr:row>
      <xdr:rowOff>133350</xdr:rowOff>
    </xdr:to>
    <xdr:sp macro="" textlink="">
      <xdr:nvSpPr>
        <xdr:cNvPr id="19458" name="Text Box 2"/>
        <xdr:cNvSpPr txBox="1">
          <a:spLocks noChangeArrowheads="1"/>
        </xdr:cNvSpPr>
      </xdr:nvSpPr>
      <xdr:spPr bwMode="auto">
        <a:xfrm>
          <a:off x="5943600" y="2981325"/>
          <a:ext cx="3495675" cy="13430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s-AR" sz="1000" b="0" i="0" u="none" strike="noStrike" baseline="0">
              <a:solidFill>
                <a:srgbClr val="000000"/>
              </a:solidFill>
              <a:latin typeface="Arial"/>
              <a:cs typeface="Arial"/>
            </a:rPr>
            <a:t>Renovacion de Equipo MOVISTAR [999-727-143]</a:t>
          </a:r>
        </a:p>
        <a:p>
          <a:pPr algn="l" rtl="0">
            <a:defRPr sz="1000"/>
          </a:pPr>
          <a:r>
            <a:rPr lang="es-AR" sz="1000" b="0" i="0" u="none" strike="noStrike" baseline="0">
              <a:solidFill>
                <a:srgbClr val="000000"/>
              </a:solidFill>
              <a:latin typeface="Arial"/>
              <a:cs typeface="Arial"/>
            </a:rPr>
            <a:t>Llamo: Srta. Jovanna Gil al 29/05/14 a horas 14:07</a:t>
          </a:r>
        </a:p>
        <a:p>
          <a:pPr algn="l" rtl="0">
            <a:defRPr sz="1000"/>
          </a:pPr>
          <a:r>
            <a:rPr lang="es-AR" sz="1000" b="0" i="0" u="none" strike="noStrike" baseline="0">
              <a:solidFill>
                <a:srgbClr val="000000"/>
              </a:solidFill>
              <a:latin typeface="Arial"/>
              <a:cs typeface="Arial"/>
            </a:rPr>
            <a:t>Equipo: Huawei Ascend Y-220 color negro (6 cuotas de 31.66)</a:t>
          </a:r>
        </a:p>
        <a:p>
          <a:pPr algn="l" rtl="0">
            <a:defRPr sz="1000"/>
          </a:pPr>
          <a:r>
            <a:rPr lang="es-AR" sz="1000" b="0" i="0" u="none" strike="noStrike" baseline="0">
              <a:solidFill>
                <a:srgbClr val="000000"/>
              </a:solidFill>
              <a:latin typeface="Arial"/>
              <a:cs typeface="Arial"/>
            </a:rPr>
            <a:t>Entrega: Lunes 02/06/2014 de 09:00-14:00 hrs previa coord.</a:t>
          </a:r>
        </a:p>
        <a:p>
          <a:pPr algn="l" rtl="0">
            <a:defRPr sz="1000"/>
          </a:pPr>
          <a:r>
            <a:rPr lang="es-AR" sz="1000" b="0" i="0" u="none" strike="noStrike" baseline="0">
              <a:solidFill>
                <a:srgbClr val="000000"/>
              </a:solidFill>
              <a:latin typeface="Arial"/>
              <a:cs typeface="Arial"/>
            </a:rPr>
            <a:t>a </a:t>
          </a:r>
          <a:r>
            <a:rPr lang="es-AR" sz="1000" b="0" i="0" u="none" strike="noStrike" baseline="0">
              <a:solidFill>
                <a:srgbClr val="000000"/>
              </a:solidFill>
              <a:latin typeface="Lucida Fax"/>
            </a:rPr>
            <a:t>Ilida Cruz Coronel</a:t>
          </a:r>
          <a:r>
            <a:rPr lang="es-AR" sz="1000" b="0" i="0" u="none" strike="noStrike" baseline="0">
              <a:solidFill>
                <a:srgbClr val="000000"/>
              </a:solidFill>
              <a:latin typeface="Arial"/>
              <a:cs typeface="Arial"/>
            </a:rPr>
            <a:t> DNI 40756049 (cel. 990-684-774)</a:t>
          </a:r>
        </a:p>
        <a:p>
          <a:pPr algn="l" rtl="0">
            <a:defRPr sz="1000"/>
          </a:pPr>
          <a:r>
            <a:rPr lang="es-AR" sz="1000" b="0" i="0" u="none" strike="noStrike" baseline="0">
              <a:solidFill>
                <a:srgbClr val="000000"/>
              </a:solidFill>
              <a:latin typeface="Arial"/>
              <a:cs typeface="Arial"/>
            </a:rPr>
            <a:t>Lugar: Calle Cieza de Leon 135 Lima 27</a:t>
          </a:r>
        </a:p>
        <a:p>
          <a:pPr algn="l" rtl="0">
            <a:defRPr sz="1000"/>
          </a:pPr>
          <a:r>
            <a:rPr lang="es-AR" sz="1000" b="0" i="0" u="none" strike="noStrike" baseline="0">
              <a:solidFill>
                <a:srgbClr val="000000"/>
              </a:solidFill>
              <a:latin typeface="Arial"/>
              <a:cs typeface="Arial"/>
            </a:rPr>
            <a:t>Consultas 104 residencia</a:t>
          </a:r>
        </a:p>
        <a:p>
          <a:pPr algn="l" rtl="0">
            <a:defRPr sz="1000"/>
          </a:pPr>
          <a:endParaRPr lang="es-AR" sz="1000" b="0" i="0" u="none" strike="noStrike" baseline="0">
            <a:solidFill>
              <a:srgbClr val="000000"/>
            </a:solidFill>
            <a:latin typeface="Arial"/>
            <a:cs typeface="Aria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457200</xdr:colOff>
      <xdr:row>1</xdr:row>
      <xdr:rowOff>19050</xdr:rowOff>
    </xdr:from>
    <xdr:to>
      <xdr:col>6</xdr:col>
      <xdr:colOff>666750</xdr:colOff>
      <xdr:row>18</xdr:row>
      <xdr:rowOff>57150</xdr:rowOff>
    </xdr:to>
    <xdr:pic>
      <xdr:nvPicPr>
        <xdr:cNvPr id="38176" name="Picture 1" descr="http://liderconperu.com/IMG/CronogramaTotal.gif"/>
        <xdr:cNvPicPr>
          <a:picLocks noChangeAspect="1" noChangeArrowheads="1"/>
        </xdr:cNvPicPr>
      </xdr:nvPicPr>
      <xdr:blipFill>
        <a:blip xmlns:r="http://schemas.openxmlformats.org/officeDocument/2006/relationships" r:embed="rId1" cstate="print"/>
        <a:srcRect/>
        <a:stretch>
          <a:fillRect/>
        </a:stretch>
      </xdr:blipFill>
      <xdr:spPr bwMode="auto">
        <a:xfrm>
          <a:off x="3924300" y="180975"/>
          <a:ext cx="3609975" cy="2847975"/>
        </a:xfrm>
        <a:prstGeom prst="rect">
          <a:avLst/>
        </a:prstGeom>
        <a:noFill/>
        <a:ln w="9525">
          <a:noFill/>
          <a:miter lim="800000"/>
          <a:headEnd/>
          <a:tailEnd/>
        </a:ln>
      </xdr:spPr>
    </xdr:pic>
    <xdr:clientData/>
  </xdr:twoCellAnchor>
  <xdr:twoCellAnchor editAs="oneCell">
    <xdr:from>
      <xdr:col>7</xdr:col>
      <xdr:colOff>190500</xdr:colOff>
      <xdr:row>1</xdr:row>
      <xdr:rowOff>19050</xdr:rowOff>
    </xdr:from>
    <xdr:to>
      <xdr:col>12</xdr:col>
      <xdr:colOff>742950</xdr:colOff>
      <xdr:row>27</xdr:row>
      <xdr:rowOff>142875</xdr:rowOff>
    </xdr:to>
    <xdr:pic>
      <xdr:nvPicPr>
        <xdr:cNvPr id="38177" name="Picture 2" descr="http://liderconperu.com/IMG/TarifasMens.gif"/>
        <xdr:cNvPicPr>
          <a:picLocks noChangeAspect="1" noChangeArrowheads="1"/>
        </xdr:cNvPicPr>
      </xdr:nvPicPr>
      <xdr:blipFill>
        <a:blip xmlns:r="http://schemas.openxmlformats.org/officeDocument/2006/relationships" r:embed="rId2" cstate="print">
          <a:grayscl/>
        </a:blip>
        <a:srcRect/>
        <a:stretch>
          <a:fillRect/>
        </a:stretch>
      </xdr:blipFill>
      <xdr:spPr bwMode="auto">
        <a:xfrm>
          <a:off x="7820025" y="180975"/>
          <a:ext cx="3800475" cy="5467350"/>
        </a:xfrm>
        <a:prstGeom prst="rect">
          <a:avLst/>
        </a:prstGeom>
        <a:noFill/>
        <a:ln w="9525">
          <a:noFill/>
          <a:miter lim="800000"/>
          <a:headEnd/>
          <a:tailEnd/>
        </a:ln>
      </xdr:spPr>
    </xdr:pic>
    <xdr:clientData/>
  </xdr:twoCellAnchor>
  <xdr:twoCellAnchor>
    <xdr:from>
      <xdr:col>7</xdr:col>
      <xdr:colOff>9525</xdr:colOff>
      <xdr:row>14</xdr:row>
      <xdr:rowOff>57150</xdr:rowOff>
    </xdr:from>
    <xdr:to>
      <xdr:col>13</xdr:col>
      <xdr:colOff>542925</xdr:colOff>
      <xdr:row>16</xdr:row>
      <xdr:rowOff>142875</xdr:rowOff>
    </xdr:to>
    <xdr:sp macro="" textlink="">
      <xdr:nvSpPr>
        <xdr:cNvPr id="38178" name="Oval 3"/>
        <xdr:cNvSpPr>
          <a:spLocks noChangeArrowheads="1"/>
        </xdr:cNvSpPr>
      </xdr:nvSpPr>
      <xdr:spPr bwMode="auto">
        <a:xfrm>
          <a:off x="7639050" y="2381250"/>
          <a:ext cx="4543425" cy="409575"/>
        </a:xfrm>
        <a:prstGeom prst="ellipse">
          <a:avLst/>
        </a:prstGeom>
        <a:noFill/>
        <a:ln w="38100" cmpd="dbl">
          <a:solidFill>
            <a:srgbClr val="FF0000"/>
          </a:solidFill>
          <a:round/>
          <a:headEnd/>
          <a:tailEnd/>
        </a:ln>
      </xdr:spPr>
    </xdr:sp>
    <xdr:clientData/>
  </xdr:twoCellAnchor>
  <xdr:twoCellAnchor>
    <xdr:from>
      <xdr:col>6</xdr:col>
      <xdr:colOff>9525</xdr:colOff>
      <xdr:row>21</xdr:row>
      <xdr:rowOff>85725</xdr:rowOff>
    </xdr:from>
    <xdr:to>
      <xdr:col>7</xdr:col>
      <xdr:colOff>466725</xdr:colOff>
      <xdr:row>27</xdr:row>
      <xdr:rowOff>190500</xdr:rowOff>
    </xdr:to>
    <xdr:cxnSp macro="">
      <xdr:nvCxnSpPr>
        <xdr:cNvPr id="38179" name="AutoShape 4"/>
        <xdr:cNvCxnSpPr>
          <a:cxnSpLocks noChangeShapeType="1"/>
        </xdr:cNvCxnSpPr>
      </xdr:nvCxnSpPr>
      <xdr:spPr bwMode="auto">
        <a:xfrm rot="16200000" flipH="1">
          <a:off x="6653212" y="4252913"/>
          <a:ext cx="1666875" cy="1219200"/>
        </a:xfrm>
        <a:prstGeom prst="curvedConnector3">
          <a:avLst>
            <a:gd name="adj1" fmla="val 2514"/>
          </a:avLst>
        </a:prstGeom>
        <a:noFill/>
        <a:ln w="9525">
          <a:solidFill>
            <a:srgbClr val="000000"/>
          </a:solidFill>
          <a:round/>
          <a:headEnd/>
          <a:tailEnd type="triangle" w="med" len="med"/>
        </a:ln>
      </xdr:spPr>
    </xdr:cxnSp>
    <xdr:clientData/>
  </xdr:twoCellAnchor>
  <xdr:twoCellAnchor>
    <xdr:from>
      <xdr:col>6</xdr:col>
      <xdr:colOff>9525</xdr:colOff>
      <xdr:row>21</xdr:row>
      <xdr:rowOff>219075</xdr:rowOff>
    </xdr:from>
    <xdr:to>
      <xdr:col>7</xdr:col>
      <xdr:colOff>419100</xdr:colOff>
      <xdr:row>31</xdr:row>
      <xdr:rowOff>161925</xdr:rowOff>
    </xdr:to>
    <xdr:cxnSp macro="">
      <xdr:nvCxnSpPr>
        <xdr:cNvPr id="38180" name="AutoShape 5"/>
        <xdr:cNvCxnSpPr>
          <a:cxnSpLocks noChangeShapeType="1"/>
        </xdr:cNvCxnSpPr>
      </xdr:nvCxnSpPr>
      <xdr:spPr bwMode="auto">
        <a:xfrm rot="16200000" flipH="1">
          <a:off x="6253163" y="4786312"/>
          <a:ext cx="2419350" cy="1171575"/>
        </a:xfrm>
        <a:prstGeom prst="curvedConnector3">
          <a:avLst>
            <a:gd name="adj1" fmla="val 861"/>
          </a:avLst>
        </a:prstGeom>
        <a:noFill/>
        <a:ln w="9525">
          <a:solidFill>
            <a:srgbClr val="000000"/>
          </a:solidFill>
          <a:round/>
          <a:headEnd/>
          <a:tailEnd type="triangle" w="med" len="med"/>
        </a:ln>
      </xdr:spPr>
    </xdr:cxnSp>
    <xdr:clientData/>
  </xdr:twoCellAnchor>
  <xdr:twoCellAnchor>
    <xdr:from>
      <xdr:col>1</xdr:col>
      <xdr:colOff>28575</xdr:colOff>
      <xdr:row>2</xdr:row>
      <xdr:rowOff>123825</xdr:rowOff>
    </xdr:from>
    <xdr:to>
      <xdr:col>3</xdr:col>
      <xdr:colOff>105885</xdr:colOff>
      <xdr:row>10</xdr:row>
      <xdr:rowOff>19126</xdr:rowOff>
    </xdr:to>
    <xdr:sp macro="" textlink="">
      <xdr:nvSpPr>
        <xdr:cNvPr id="12294" name="WordArt 6"/>
        <xdr:cNvSpPr>
          <a:spLocks noChangeArrowheads="1" noChangeShapeType="1" noTextEdit="1"/>
        </xdr:cNvSpPr>
      </xdr:nvSpPr>
      <xdr:spPr bwMode="auto">
        <a:xfrm>
          <a:off x="361950" y="457200"/>
          <a:ext cx="3209925" cy="1200150"/>
        </a:xfrm>
        <a:prstGeom prst="rect">
          <a:avLst/>
        </a:prstGeom>
      </xdr:spPr>
      <xdr:txBody>
        <a:bodyPr wrap="none" fromWordArt="1">
          <a:prstTxWarp prst="textPlain">
            <a:avLst>
              <a:gd name="adj" fmla="val 49176"/>
            </a:avLst>
          </a:prstTxWarp>
        </a:bodyPr>
        <a:lstStyle/>
        <a:p>
          <a:pPr algn="ctr" rtl="0"/>
          <a:r>
            <a:rPr lang="es-PE" sz="2400" kern="10" spc="0">
              <a:ln w="9525">
                <a:solidFill>
                  <a:srgbClr val="3366FF"/>
                </a:solidFill>
                <a:round/>
                <a:headEnd/>
                <a:tailEnd/>
              </a:ln>
              <a:solidFill>
                <a:srgbClr val="CCECFF"/>
              </a:solidFill>
              <a:effectLst/>
              <a:latin typeface="Arial Black"/>
            </a:rPr>
            <a:t>Revisiones</a:t>
          </a:r>
        </a:p>
        <a:p>
          <a:pPr algn="ctr" rtl="0"/>
          <a:r>
            <a:rPr lang="es-PE" sz="2400" kern="10" spc="0">
              <a:ln w="9525">
                <a:solidFill>
                  <a:srgbClr val="3366FF"/>
                </a:solidFill>
                <a:round/>
                <a:headEnd/>
                <a:tailEnd/>
              </a:ln>
              <a:solidFill>
                <a:srgbClr val="CCECFF"/>
              </a:solidFill>
              <a:effectLst/>
              <a:latin typeface="Arial Black"/>
            </a:rPr>
            <a:t>Tecnicas</a:t>
          </a:r>
        </a:p>
        <a:p>
          <a:pPr algn="ctr" rtl="0"/>
          <a:r>
            <a:rPr lang="es-PE" sz="2400" kern="10" spc="0">
              <a:ln w="9525">
                <a:solidFill>
                  <a:srgbClr val="3366FF"/>
                </a:solidFill>
                <a:round/>
                <a:headEnd/>
                <a:tailEnd/>
              </a:ln>
              <a:solidFill>
                <a:srgbClr val="CCECFF"/>
              </a:solidFill>
              <a:effectLst/>
              <a:latin typeface="Arial Black"/>
            </a:rPr>
            <a:t>2009</a:t>
          </a:r>
        </a:p>
      </xdr:txBody>
    </xdr:sp>
    <xdr:clientData/>
  </xdr:twoCellAnchor>
  <xdr:twoCellAnchor editAs="oneCell">
    <xdr:from>
      <xdr:col>1</xdr:col>
      <xdr:colOff>276225</xdr:colOff>
      <xdr:row>10</xdr:row>
      <xdr:rowOff>104775</xdr:rowOff>
    </xdr:from>
    <xdr:to>
      <xdr:col>3</xdr:col>
      <xdr:colOff>142875</xdr:colOff>
      <xdr:row>12</xdr:row>
      <xdr:rowOff>142875</xdr:rowOff>
    </xdr:to>
    <xdr:pic>
      <xdr:nvPicPr>
        <xdr:cNvPr id="38182" name="Picture 7" descr="http://liderconperu.com/IMG/TelefonoReserva.gif"/>
        <xdr:cNvPicPr>
          <a:picLocks noChangeAspect="1" noChangeArrowheads="1"/>
        </xdr:cNvPicPr>
      </xdr:nvPicPr>
      <xdr:blipFill>
        <a:blip xmlns:r="http://schemas.openxmlformats.org/officeDocument/2006/relationships" r:embed="rId3" cstate="print"/>
        <a:srcRect/>
        <a:stretch>
          <a:fillRect/>
        </a:stretch>
      </xdr:blipFill>
      <xdr:spPr bwMode="auto">
        <a:xfrm>
          <a:off x="609600" y="1743075"/>
          <a:ext cx="3000375" cy="400050"/>
        </a:xfrm>
        <a:prstGeom prst="rect">
          <a:avLst/>
        </a:prstGeom>
        <a:noFill/>
        <a:ln w="9525">
          <a:noFill/>
          <a:miter lim="800000"/>
          <a:headEnd/>
          <a:tailEnd/>
        </a:ln>
      </xdr:spPr>
    </xdr:pic>
    <xdr:clientData/>
  </xdr:twoCellAnchor>
  <xdr:twoCellAnchor editAs="oneCell">
    <xdr:from>
      <xdr:col>1</xdr:col>
      <xdr:colOff>466725</xdr:colOff>
      <xdr:row>13</xdr:row>
      <xdr:rowOff>57150</xdr:rowOff>
    </xdr:from>
    <xdr:to>
      <xdr:col>2</xdr:col>
      <xdr:colOff>2352675</xdr:colOff>
      <xdr:row>15</xdr:row>
      <xdr:rowOff>123825</xdr:rowOff>
    </xdr:to>
    <xdr:pic>
      <xdr:nvPicPr>
        <xdr:cNvPr id="38183" name="Picture 8" descr="http://liderconperu.com/IMG/TelefonoReservaNum.gif"/>
        <xdr:cNvPicPr>
          <a:picLocks noChangeAspect="1" noChangeArrowheads="1"/>
        </xdr:cNvPicPr>
      </xdr:nvPicPr>
      <xdr:blipFill>
        <a:blip xmlns:r="http://schemas.openxmlformats.org/officeDocument/2006/relationships" r:embed="rId4" cstate="print"/>
        <a:srcRect/>
        <a:stretch>
          <a:fillRect/>
        </a:stretch>
      </xdr:blipFill>
      <xdr:spPr bwMode="auto">
        <a:xfrm>
          <a:off x="800100" y="2219325"/>
          <a:ext cx="2447925" cy="390525"/>
        </a:xfrm>
        <a:prstGeom prst="rect">
          <a:avLst/>
        </a:prstGeom>
        <a:noFill/>
        <a:ln w="9525">
          <a:noFill/>
          <a:miter lim="800000"/>
          <a:headEnd/>
          <a:tailEnd/>
        </a:ln>
      </xdr:spPr>
    </xdr:pic>
    <xdr:clientData/>
  </xdr:twoCellAnchor>
  <xdr:twoCellAnchor editAs="oneCell">
    <xdr:from>
      <xdr:col>1</xdr:col>
      <xdr:colOff>466725</xdr:colOff>
      <xdr:row>15</xdr:row>
      <xdr:rowOff>133350</xdr:rowOff>
    </xdr:from>
    <xdr:to>
      <xdr:col>2</xdr:col>
      <xdr:colOff>2352675</xdr:colOff>
      <xdr:row>18</xdr:row>
      <xdr:rowOff>38100</xdr:rowOff>
    </xdr:to>
    <xdr:pic>
      <xdr:nvPicPr>
        <xdr:cNvPr id="38184" name="Picture 9" descr="http://liderconperu.com/IMG/TelefonoReservaNum2.gif"/>
        <xdr:cNvPicPr>
          <a:picLocks noChangeAspect="1" noChangeArrowheads="1"/>
        </xdr:cNvPicPr>
      </xdr:nvPicPr>
      <xdr:blipFill>
        <a:blip xmlns:r="http://schemas.openxmlformats.org/officeDocument/2006/relationships" r:embed="rId5" cstate="print"/>
        <a:srcRect/>
        <a:stretch>
          <a:fillRect/>
        </a:stretch>
      </xdr:blipFill>
      <xdr:spPr bwMode="auto">
        <a:xfrm>
          <a:off x="800100" y="2619375"/>
          <a:ext cx="2447925" cy="390525"/>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19050</xdr:colOff>
      <xdr:row>46</xdr:row>
      <xdr:rowOff>9525</xdr:rowOff>
    </xdr:from>
    <xdr:to>
      <xdr:col>2</xdr:col>
      <xdr:colOff>638175</xdr:colOff>
      <xdr:row>47</xdr:row>
      <xdr:rowOff>142875</xdr:rowOff>
    </xdr:to>
    <xdr:pic>
      <xdr:nvPicPr>
        <xdr:cNvPr id="14562" name="Picture 1" descr="C:\Documents and Settings\CesarQ\Mis documentos\Mis imágenes\logo MTC.jpg"/>
        <xdr:cNvPicPr>
          <a:picLocks noChangeAspect="1" noChangeArrowheads="1"/>
        </xdr:cNvPicPr>
      </xdr:nvPicPr>
      <xdr:blipFill>
        <a:blip xmlns:r="http://schemas.openxmlformats.org/officeDocument/2006/relationships" r:embed="rId1" cstate="print"/>
        <a:srcRect/>
        <a:stretch>
          <a:fillRect/>
        </a:stretch>
      </xdr:blipFill>
      <xdr:spPr bwMode="auto">
        <a:xfrm>
          <a:off x="542925" y="11982450"/>
          <a:ext cx="1666875" cy="390525"/>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6</xdr:col>
      <xdr:colOff>19050</xdr:colOff>
      <xdr:row>1</xdr:row>
      <xdr:rowOff>123825</xdr:rowOff>
    </xdr:to>
    <xdr:pic>
      <xdr:nvPicPr>
        <xdr:cNvPr id="8572" name="Picture 3" descr="http://www.mtc.gob.pe/trans_carga/a/imagenes/logo_web.jpg"/>
        <xdr:cNvPicPr>
          <a:picLocks noChangeAspect="1" noChangeArrowheads="1"/>
        </xdr:cNvPicPr>
      </xdr:nvPicPr>
      <xdr:blipFill>
        <a:blip xmlns:r="http://schemas.openxmlformats.org/officeDocument/2006/relationships" r:embed="rId1" cstate="print"/>
        <a:srcRect/>
        <a:stretch>
          <a:fillRect/>
        </a:stretch>
      </xdr:blipFill>
      <xdr:spPr bwMode="auto">
        <a:xfrm>
          <a:off x="1771650" y="0"/>
          <a:ext cx="1905000" cy="285750"/>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15</xdr:col>
      <xdr:colOff>123825</xdr:colOff>
      <xdr:row>0</xdr:row>
      <xdr:rowOff>133350</xdr:rowOff>
    </xdr:from>
    <xdr:to>
      <xdr:col>25</xdr:col>
      <xdr:colOff>38100</xdr:colOff>
      <xdr:row>30</xdr:row>
      <xdr:rowOff>66675</xdr:rowOff>
    </xdr:to>
    <xdr:pic>
      <xdr:nvPicPr>
        <xdr:cNvPr id="3490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2896850" y="133350"/>
          <a:ext cx="7534275" cy="5657850"/>
        </a:xfrm>
        <a:prstGeom prst="rect">
          <a:avLst/>
        </a:prstGeom>
        <a:noFill/>
        <a:ln w="9525">
          <a:no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0</xdr:colOff>
      <xdr:row>34</xdr:row>
      <xdr:rowOff>0</xdr:rowOff>
    </xdr:from>
    <xdr:to>
      <xdr:col>2</xdr:col>
      <xdr:colOff>304800</xdr:colOff>
      <xdr:row>35</xdr:row>
      <xdr:rowOff>47625</xdr:rowOff>
    </xdr:to>
    <xdr:sp macro="" textlink="">
      <xdr:nvSpPr>
        <xdr:cNvPr id="3452" name="Image1" descr="https://zonasegura.bn.com.pe/bnpoli/imagenes/logoBN2.gif"/>
        <xdr:cNvSpPr>
          <a:spLocks noChangeAspect="1" noChangeArrowheads="1"/>
        </xdr:cNvSpPr>
      </xdr:nvSpPr>
      <xdr:spPr bwMode="auto">
        <a:xfrm>
          <a:off x="647700" y="8858250"/>
          <a:ext cx="304800" cy="304800"/>
        </a:xfrm>
        <a:prstGeom prst="rect">
          <a:avLst/>
        </a:prstGeom>
        <a:noFill/>
        <a:ln w="9525">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1</xdr:row>
      <xdr:rowOff>104775</xdr:rowOff>
    </xdr:from>
    <xdr:to>
      <xdr:col>3</xdr:col>
      <xdr:colOff>571500</xdr:colOff>
      <xdr:row>3</xdr:row>
      <xdr:rowOff>152400</xdr:rowOff>
    </xdr:to>
    <xdr:pic>
      <xdr:nvPicPr>
        <xdr:cNvPr id="2" name="Imagen 1" descr="image002"/>
        <xdr:cNvPicPr>
          <a:picLocks noChangeAspect="1" noChangeArrowheads="1"/>
        </xdr:cNvPicPr>
      </xdr:nvPicPr>
      <xdr:blipFill>
        <a:blip xmlns:r="http://schemas.openxmlformats.org/officeDocument/2006/relationships" r:embed="rId1"/>
        <a:srcRect/>
        <a:stretch>
          <a:fillRect/>
        </a:stretch>
      </xdr:blipFill>
      <xdr:spPr bwMode="auto">
        <a:xfrm>
          <a:off x="771525" y="285750"/>
          <a:ext cx="2714625" cy="52387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9525</xdr:colOff>
      <xdr:row>1</xdr:row>
      <xdr:rowOff>104775</xdr:rowOff>
    </xdr:from>
    <xdr:to>
      <xdr:col>3</xdr:col>
      <xdr:colOff>571500</xdr:colOff>
      <xdr:row>3</xdr:row>
      <xdr:rowOff>152400</xdr:rowOff>
    </xdr:to>
    <xdr:pic>
      <xdr:nvPicPr>
        <xdr:cNvPr id="2" name="Imagen 1" descr="image002"/>
        <xdr:cNvPicPr>
          <a:picLocks noChangeAspect="1" noChangeArrowheads="1"/>
        </xdr:cNvPicPr>
      </xdr:nvPicPr>
      <xdr:blipFill>
        <a:blip xmlns:r="http://schemas.openxmlformats.org/officeDocument/2006/relationships" r:embed="rId1"/>
        <a:srcRect/>
        <a:stretch>
          <a:fillRect/>
        </a:stretch>
      </xdr:blipFill>
      <xdr:spPr bwMode="auto">
        <a:xfrm>
          <a:off x="390525" y="285750"/>
          <a:ext cx="2714625" cy="609600"/>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14</xdr:col>
      <xdr:colOff>98050</xdr:colOff>
      <xdr:row>41</xdr:row>
      <xdr:rowOff>131109</xdr:rowOff>
    </xdr:from>
    <xdr:to>
      <xdr:col>16</xdr:col>
      <xdr:colOff>1206312</xdr:colOff>
      <xdr:row>57</xdr:row>
      <xdr:rowOff>104215</xdr:rowOff>
    </xdr:to>
    <xdr:sp macro="" textlink="">
      <xdr:nvSpPr>
        <xdr:cNvPr id="30115" name="Text Box 419"/>
        <xdr:cNvSpPr txBox="1">
          <a:spLocks noChangeArrowheads="1"/>
        </xdr:cNvSpPr>
      </xdr:nvSpPr>
      <xdr:spPr bwMode="auto">
        <a:xfrm>
          <a:off x="11699500" y="7627284"/>
          <a:ext cx="2689412" cy="1601881"/>
        </a:xfrm>
        <a:prstGeom prst="rect">
          <a:avLst/>
        </a:prstGeom>
        <a:solidFill>
          <a:srgbClr val="FFFFCC">
            <a:alpha val="50000"/>
          </a:srgbClr>
        </a:solidFill>
        <a:ln w="9525">
          <a:solidFill>
            <a:srgbClr val="000000"/>
          </a:solidFill>
          <a:miter lim="800000"/>
          <a:headEnd/>
          <a:tailEnd/>
        </a:ln>
      </xdr:spPr>
      <xdr:txBody>
        <a:bodyPr vertOverflow="clip" wrap="square" lIns="27432" tIns="22860" rIns="0" bIns="0" anchor="t" upright="1"/>
        <a:lstStyle/>
        <a:p>
          <a:pPr algn="l" rtl="0">
            <a:defRPr sz="1000"/>
          </a:pPr>
          <a:endParaRPr lang="es-PE" sz="1000" b="0" i="0" u="none" strike="noStrike" baseline="0">
            <a:solidFill>
              <a:srgbClr val="000000"/>
            </a:solidFill>
            <a:latin typeface="Arial"/>
            <a:cs typeface="Arial"/>
          </a:endParaRPr>
        </a:p>
        <a:p>
          <a:pPr algn="l" rtl="0">
            <a:defRPr sz="1000"/>
          </a:pPr>
          <a:r>
            <a:rPr lang="es-PE" sz="1000" b="0" i="0" u="none" strike="noStrike" baseline="0">
              <a:solidFill>
                <a:srgbClr val="000000"/>
              </a:solidFill>
              <a:latin typeface="Arial"/>
              <a:cs typeface="Arial"/>
            </a:rPr>
            <a:t> Teléfono:  311-9000</a:t>
          </a:r>
        </a:p>
        <a:p>
          <a:pPr algn="l" rtl="0">
            <a:defRPr sz="1000"/>
          </a:pPr>
          <a:r>
            <a:rPr lang="es-PE" sz="1000" b="0" i="0" u="sng" strike="noStrike" baseline="0">
              <a:solidFill>
                <a:srgbClr val="000000"/>
              </a:solidFill>
              <a:latin typeface="Arial"/>
              <a:cs typeface="Arial"/>
            </a:rPr>
            <a:t>23/06/2015  14:10hrs</a:t>
          </a:r>
          <a:r>
            <a:rPr lang="es-PE" sz="1000" b="0" i="0" u="none" strike="noStrike" baseline="0">
              <a:solidFill>
                <a:srgbClr val="000000"/>
              </a:solidFill>
              <a:latin typeface="Arial"/>
              <a:cs typeface="Arial"/>
            </a:rPr>
            <a:t>. </a:t>
          </a:r>
          <a:r>
            <a:rPr lang="es-PE" sz="1000" b="1" i="0" u="none" strike="noStrike" baseline="0">
              <a:solidFill>
                <a:srgbClr val="000000"/>
              </a:solidFill>
              <a:latin typeface="Arial"/>
              <a:cs typeface="Arial"/>
            </a:rPr>
            <a:t>INTERBANK</a:t>
          </a:r>
          <a:endParaRPr lang="es-PE" sz="1000" b="0" i="0" u="none" strike="noStrike" baseline="0">
            <a:solidFill>
              <a:srgbClr val="000000"/>
            </a:solidFill>
            <a:latin typeface="Arial"/>
            <a:cs typeface="Arial"/>
          </a:endParaRPr>
        </a:p>
        <a:p>
          <a:pPr algn="l" rtl="0">
            <a:defRPr sz="1000"/>
          </a:pPr>
          <a:r>
            <a:rPr lang="es-PE" sz="1000" b="0" i="0" u="none" strike="noStrike" baseline="0">
              <a:solidFill>
                <a:srgbClr val="000000"/>
              </a:solidFill>
              <a:latin typeface="Arial"/>
              <a:cs typeface="Arial"/>
            </a:rPr>
            <a:t>Cobro de menbresia de tarjeta </a:t>
          </a:r>
          <a:r>
            <a:rPr lang="es-PE" sz="1000" b="0" i="0" u="none" strike="noStrike" baseline="0">
              <a:solidFill>
                <a:srgbClr val="FF0000"/>
              </a:solidFill>
              <a:latin typeface="Arial"/>
              <a:cs typeface="Arial"/>
            </a:rPr>
            <a:t>AMEX</a:t>
          </a:r>
          <a:endParaRPr lang="es-PE" sz="1000" b="0" i="0" u="none" strike="noStrike" baseline="0">
            <a:solidFill>
              <a:srgbClr val="000000"/>
            </a:solidFill>
            <a:latin typeface="Arial"/>
            <a:cs typeface="Arial"/>
          </a:endParaRPr>
        </a:p>
        <a:p>
          <a:pPr algn="l" rtl="0">
            <a:defRPr sz="1000"/>
          </a:pPr>
          <a:r>
            <a:rPr lang="es-PE" sz="1000" b="0" i="0" u="none" strike="noStrike" baseline="0">
              <a:solidFill>
                <a:srgbClr val="000000"/>
              </a:solidFill>
              <a:latin typeface="Arial"/>
              <a:cs typeface="Arial"/>
            </a:rPr>
            <a:t>Solicitud de Exoneración :</a:t>
          </a:r>
          <a:r>
            <a:rPr lang="es-PE" sz="1000" b="1" i="0" u="none" strike="noStrike" baseline="0">
              <a:solidFill>
                <a:srgbClr val="FF0000"/>
              </a:solidFill>
              <a:latin typeface="Arial"/>
              <a:cs typeface="Arial"/>
            </a:rPr>
            <a:t> 12411817</a:t>
          </a:r>
          <a:endParaRPr lang="es-PE" sz="1000" b="0" i="0" u="none" strike="noStrike" baseline="0">
            <a:solidFill>
              <a:srgbClr val="000000"/>
            </a:solidFill>
            <a:latin typeface="Arial"/>
            <a:cs typeface="Arial"/>
          </a:endParaRPr>
        </a:p>
        <a:p>
          <a:pPr algn="l" rtl="0">
            <a:defRPr sz="1000"/>
          </a:pPr>
          <a:r>
            <a:rPr lang="es-PE" sz="1000" b="0" i="0" u="none" strike="noStrike" baseline="0">
              <a:solidFill>
                <a:srgbClr val="000000"/>
              </a:solidFill>
              <a:latin typeface="Arial"/>
              <a:cs typeface="Arial"/>
            </a:rPr>
            <a:t>Sr. Ralf Lucar</a:t>
          </a:r>
        </a:p>
        <a:p>
          <a:pPr algn="l" rtl="0">
            <a:defRPr sz="1000"/>
          </a:pPr>
          <a:r>
            <a:rPr lang="es-PE" sz="1000" b="0" i="0" u="none" strike="noStrike" baseline="0">
              <a:solidFill>
                <a:srgbClr val="000000"/>
              </a:solidFill>
              <a:latin typeface="Arial"/>
              <a:cs typeface="Arial"/>
            </a:rPr>
            <a:t>Resp a mas tardar al 07/07/15</a:t>
          </a:r>
        </a:p>
      </xdr:txBody>
    </xdr:sp>
    <xdr:clientData/>
  </xdr:twoCellAnchor>
  <xdr:twoCellAnchor>
    <xdr:from>
      <xdr:col>1</xdr:col>
      <xdr:colOff>28575</xdr:colOff>
      <xdr:row>84</xdr:row>
      <xdr:rowOff>177968</xdr:rowOff>
    </xdr:from>
    <xdr:to>
      <xdr:col>3</xdr:col>
      <xdr:colOff>276225</xdr:colOff>
      <xdr:row>92</xdr:row>
      <xdr:rowOff>130369</xdr:rowOff>
    </xdr:to>
    <xdr:sp macro="" textlink="">
      <xdr:nvSpPr>
        <xdr:cNvPr id="30116" name="Text Box 420"/>
        <xdr:cNvSpPr txBox="1">
          <a:spLocks noChangeArrowheads="1"/>
        </xdr:cNvSpPr>
      </xdr:nvSpPr>
      <xdr:spPr bwMode="auto">
        <a:xfrm>
          <a:off x="209550" y="8239125"/>
          <a:ext cx="1962150" cy="14097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s-PE" sz="1000" b="0" i="0" u="none" strike="noStrike" baseline="0">
              <a:solidFill>
                <a:srgbClr val="000000"/>
              </a:solidFill>
              <a:latin typeface="Arial"/>
              <a:cs typeface="Arial"/>
            </a:rPr>
            <a:t>Radiador 250</a:t>
          </a:r>
        </a:p>
        <a:p>
          <a:pPr algn="l" rtl="0">
            <a:defRPr sz="1000"/>
          </a:pPr>
          <a:r>
            <a:rPr lang="es-PE" sz="1000" b="0" i="0" u="none" strike="noStrike" baseline="0">
              <a:solidFill>
                <a:srgbClr val="000000"/>
              </a:solidFill>
              <a:latin typeface="Arial"/>
              <a:cs typeface="Arial"/>
            </a:rPr>
            <a:t>Altura: 35 1/4"</a:t>
          </a:r>
        </a:p>
        <a:p>
          <a:pPr algn="l" rtl="0">
            <a:defRPr sz="1000"/>
          </a:pPr>
          <a:r>
            <a:rPr lang="es-PE" sz="1000" b="0" i="0" u="none" strike="noStrike" baseline="0">
              <a:solidFill>
                <a:srgbClr val="000000"/>
              </a:solidFill>
              <a:latin typeface="Arial"/>
              <a:cs typeface="Arial"/>
            </a:rPr>
            <a:t>Ancho  28.5"</a:t>
          </a:r>
        </a:p>
        <a:p>
          <a:pPr algn="l" rtl="0">
            <a:defRPr sz="1000"/>
          </a:pPr>
          <a:r>
            <a:rPr lang="es-PE" sz="1000" b="0" i="0" u="none" strike="noStrike" baseline="0">
              <a:solidFill>
                <a:srgbClr val="000000"/>
              </a:solidFill>
              <a:latin typeface="Arial"/>
              <a:cs typeface="Arial"/>
            </a:rPr>
            <a:t>Espesor 3 3/4"</a:t>
          </a:r>
        </a:p>
        <a:p>
          <a:pPr algn="l" rtl="0">
            <a:defRPr sz="1000"/>
          </a:pPr>
          <a:r>
            <a:rPr lang="es-PE" sz="1000" b="0" i="0" u="none" strike="noStrike" baseline="0">
              <a:solidFill>
                <a:srgbClr val="000000"/>
              </a:solidFill>
              <a:latin typeface="Arial"/>
              <a:cs typeface="Arial"/>
            </a:rPr>
            <a:t>5 hileras</a:t>
          </a:r>
        </a:p>
        <a:p>
          <a:pPr algn="l" rtl="0">
            <a:defRPr sz="1000"/>
          </a:pPr>
          <a:r>
            <a:rPr lang="es-PE" sz="1000" b="0" i="0" u="none" strike="noStrike" baseline="0">
              <a:solidFill>
                <a:srgbClr val="000000"/>
              </a:solidFill>
              <a:latin typeface="Arial"/>
              <a:cs typeface="Arial"/>
            </a:rPr>
            <a:t>tubos 9/16</a:t>
          </a:r>
        </a:p>
        <a:p>
          <a:pPr algn="l" rtl="0">
            <a:defRPr sz="1000"/>
          </a:pPr>
          <a:r>
            <a:rPr lang="es-PE" sz="1000" b="0" i="0" u="none" strike="noStrike" baseline="0">
              <a:solidFill>
                <a:srgbClr val="000000"/>
              </a:solidFill>
              <a:latin typeface="Arial"/>
              <a:cs typeface="Arial"/>
            </a:rPr>
            <a:t>Plancha 1/8 de bronce</a:t>
          </a:r>
        </a:p>
        <a:p>
          <a:pPr algn="l" rtl="0">
            <a:defRPr sz="1000"/>
          </a:pPr>
          <a:r>
            <a:rPr lang="es-PE" sz="1000" b="0" i="0" u="none" strike="noStrike" baseline="0">
              <a:solidFill>
                <a:srgbClr val="000000"/>
              </a:solidFill>
              <a:latin typeface="Arial"/>
              <a:cs typeface="Arial"/>
            </a:rPr>
            <a:t>Parrilla 7 5/16 x 32 1/4 x 3mm</a:t>
          </a:r>
        </a:p>
      </xdr:txBody>
    </xdr:sp>
    <xdr:clientData/>
  </xdr:twoCellAnchor>
  <xdr:twoCellAnchor>
    <xdr:from>
      <xdr:col>8</xdr:col>
      <xdr:colOff>552450</xdr:colOff>
      <xdr:row>129</xdr:row>
      <xdr:rowOff>14037</xdr:rowOff>
    </xdr:from>
    <xdr:to>
      <xdr:col>10</xdr:col>
      <xdr:colOff>911376</xdr:colOff>
      <xdr:row>133</xdr:row>
      <xdr:rowOff>3022</xdr:rowOff>
    </xdr:to>
    <xdr:sp macro="" textlink="">
      <xdr:nvSpPr>
        <xdr:cNvPr id="30117" name="Text Box 421"/>
        <xdr:cNvSpPr txBox="1">
          <a:spLocks noChangeArrowheads="1"/>
        </xdr:cNvSpPr>
      </xdr:nvSpPr>
      <xdr:spPr bwMode="auto">
        <a:xfrm>
          <a:off x="6915150" y="23207412"/>
          <a:ext cx="2073426" cy="750985"/>
        </a:xfrm>
        <a:prstGeom prst="rect">
          <a:avLst/>
        </a:prstGeom>
        <a:solidFill>
          <a:srgbClr val="FFFFCC">
            <a:alpha val="50000"/>
          </a:srgbClr>
        </a:solidFill>
        <a:ln w="9525">
          <a:solidFill>
            <a:srgbClr val="000000"/>
          </a:solidFill>
          <a:miter lim="800000"/>
          <a:headEnd/>
          <a:tailEnd/>
        </a:ln>
      </xdr:spPr>
      <xdr:txBody>
        <a:bodyPr vertOverflow="clip" wrap="square" lIns="36576" tIns="27432" rIns="0" bIns="0" anchor="t" upright="1"/>
        <a:lstStyle/>
        <a:p>
          <a:pPr algn="l" rtl="0">
            <a:defRPr sz="1000"/>
          </a:pPr>
          <a:r>
            <a:rPr lang="es-PE" sz="1200" b="1" i="0" u="none" strike="noStrike" baseline="0">
              <a:solidFill>
                <a:srgbClr val="FF0000"/>
              </a:solidFill>
              <a:latin typeface="Arial"/>
              <a:cs typeface="Arial"/>
            </a:rPr>
            <a:t>Referencia: </a:t>
          </a:r>
          <a:r>
            <a:rPr lang="es-PE" sz="1000" b="0" i="0" u="none" strike="noStrike" baseline="0">
              <a:solidFill>
                <a:srgbClr val="FF0000"/>
              </a:solidFill>
              <a:latin typeface="Arial"/>
              <a:cs typeface="Arial"/>
            </a:rPr>
            <a:t>(ICC-310815 11:25)</a:t>
          </a:r>
          <a:endParaRPr lang="es-PE" sz="1200" b="1" i="0" u="none" strike="noStrike" baseline="0">
            <a:solidFill>
              <a:srgbClr val="FF0000"/>
            </a:solidFill>
            <a:latin typeface="Arial"/>
            <a:cs typeface="Arial"/>
          </a:endParaRPr>
        </a:p>
        <a:p>
          <a:pPr algn="l" rtl="0">
            <a:defRPr sz="1000"/>
          </a:pPr>
          <a:r>
            <a:rPr lang="es-PE" sz="1200" b="1" i="0" u="none" strike="noStrike" baseline="0">
              <a:solidFill>
                <a:srgbClr val="FF0000"/>
              </a:solidFill>
              <a:latin typeface="Arial"/>
              <a:cs typeface="Arial"/>
            </a:rPr>
            <a:t>Telef. 577-6463</a:t>
          </a:r>
        </a:p>
        <a:p>
          <a:pPr algn="l" rtl="0">
            <a:defRPr sz="1000"/>
          </a:pPr>
          <a:r>
            <a:rPr lang="es-PE" sz="1200" b="1" i="0" u="none" strike="noStrike" baseline="0">
              <a:solidFill>
                <a:srgbClr val="FF0000"/>
              </a:solidFill>
              <a:latin typeface="Arial"/>
              <a:cs typeface="Arial"/>
            </a:rPr>
            <a:t>Familia Rodriguez</a:t>
          </a:r>
          <a:endParaRPr lang="es-PE" sz="1000" b="0" i="0" u="none" strike="noStrike" baseline="0">
            <a:solidFill>
              <a:srgbClr val="000000"/>
            </a:solidFill>
            <a:latin typeface="Arial"/>
            <a:cs typeface="Arial"/>
          </a:endParaRPr>
        </a:p>
        <a:p>
          <a:pPr algn="l" rtl="0">
            <a:defRPr sz="1000"/>
          </a:pPr>
          <a:endParaRPr lang="es-PE" sz="1000" b="0" i="0" u="none" strike="noStrike" baseline="0">
            <a:solidFill>
              <a:srgbClr val="000000"/>
            </a:solidFill>
            <a:latin typeface="Arial"/>
            <a:cs typeface="Arial"/>
          </a:endParaRPr>
        </a:p>
      </xdr:txBody>
    </xdr:sp>
    <xdr:clientData/>
  </xdr:twoCellAnchor>
  <xdr:twoCellAnchor>
    <xdr:from>
      <xdr:col>5</xdr:col>
      <xdr:colOff>123825</xdr:colOff>
      <xdr:row>128</xdr:row>
      <xdr:rowOff>68179</xdr:rowOff>
    </xdr:from>
    <xdr:to>
      <xdr:col>7</xdr:col>
      <xdr:colOff>571500</xdr:colOff>
      <xdr:row>133</xdr:row>
      <xdr:rowOff>94120</xdr:rowOff>
    </xdr:to>
    <xdr:sp macro="" textlink="">
      <xdr:nvSpPr>
        <xdr:cNvPr id="30118" name="Text Box 422"/>
        <xdr:cNvSpPr txBox="1">
          <a:spLocks noChangeArrowheads="1"/>
        </xdr:cNvSpPr>
      </xdr:nvSpPr>
      <xdr:spPr bwMode="auto">
        <a:xfrm>
          <a:off x="3714750" y="23071054"/>
          <a:ext cx="2295525" cy="978441"/>
        </a:xfrm>
        <a:prstGeom prst="rect">
          <a:avLst/>
        </a:prstGeom>
        <a:solidFill>
          <a:srgbClr val="FFFFCC">
            <a:alpha val="50000"/>
          </a:srgbClr>
        </a:solidFill>
        <a:ln w="9525">
          <a:solidFill>
            <a:srgbClr val="000000"/>
          </a:solidFill>
          <a:miter lim="800000"/>
          <a:headEnd/>
          <a:tailEnd/>
        </a:ln>
      </xdr:spPr>
      <xdr:txBody>
        <a:bodyPr vertOverflow="clip" wrap="square" lIns="36576" tIns="27432" rIns="0" bIns="0" anchor="t" upright="1"/>
        <a:lstStyle/>
        <a:p>
          <a:pPr algn="l" rtl="0">
            <a:defRPr sz="1000"/>
          </a:pPr>
          <a:r>
            <a:rPr lang="es-PE" sz="1200" b="1" i="0" u="none" strike="noStrike" baseline="0">
              <a:solidFill>
                <a:srgbClr val="FF0000"/>
              </a:solidFill>
              <a:latin typeface="Arial"/>
              <a:cs typeface="Arial"/>
            </a:rPr>
            <a:t>Activacion:</a:t>
          </a:r>
        </a:p>
        <a:p>
          <a:pPr algn="l" rtl="0">
            <a:defRPr sz="1000"/>
          </a:pPr>
          <a:r>
            <a:rPr lang="es-PE" sz="1200" b="1" i="0" u="none" strike="noStrike" baseline="0">
              <a:solidFill>
                <a:srgbClr val="FF0000"/>
              </a:solidFill>
              <a:latin typeface="Arial"/>
              <a:cs typeface="Arial"/>
            </a:rPr>
            <a:t>( </a:t>
          </a:r>
          <a:r>
            <a:rPr lang="es-PE" sz="1600" b="1" i="0" u="none" strike="noStrike" baseline="0">
              <a:solidFill>
                <a:srgbClr val="FF0000"/>
              </a:solidFill>
              <a:latin typeface="Arial"/>
              <a:cs typeface="Arial"/>
            </a:rPr>
            <a:t>*</a:t>
          </a:r>
          <a:r>
            <a:rPr lang="es-PE" sz="1200" b="1" i="0" u="none" strike="noStrike" baseline="0">
              <a:solidFill>
                <a:srgbClr val="FF0000"/>
              </a:solidFill>
              <a:latin typeface="Arial"/>
              <a:cs typeface="Arial"/>
            </a:rPr>
            <a:t>2 ) ( </a:t>
          </a:r>
          <a:r>
            <a:rPr lang="es-PE" sz="1600" b="1" i="0" u="none" strike="noStrike" baseline="0">
              <a:solidFill>
                <a:srgbClr val="FF0000"/>
              </a:solidFill>
              <a:latin typeface="Arial"/>
              <a:cs typeface="Arial"/>
            </a:rPr>
            <a:t>*</a:t>
          </a:r>
          <a:r>
            <a:rPr lang="es-PE" sz="1200" b="1" i="0" u="none" strike="noStrike" baseline="0">
              <a:solidFill>
                <a:srgbClr val="FF0000"/>
              </a:solidFill>
              <a:latin typeface="Arial"/>
              <a:cs typeface="Arial"/>
            </a:rPr>
            <a:t> celular ) ( # )  </a:t>
          </a:r>
        </a:p>
        <a:p>
          <a:pPr algn="l" rtl="0">
            <a:defRPr sz="1000"/>
          </a:pPr>
          <a:r>
            <a:rPr lang="es-PE" sz="1200" b="1" i="0" u="none" strike="noStrike" baseline="0">
              <a:solidFill>
                <a:srgbClr val="FF0000"/>
              </a:solidFill>
              <a:latin typeface="Arial"/>
              <a:cs typeface="Arial"/>
            </a:rPr>
            <a:t>Desactivacion: ( # 21 # )</a:t>
          </a:r>
        </a:p>
        <a:p>
          <a:pPr algn="l" rtl="0">
            <a:defRPr sz="1000"/>
          </a:pPr>
          <a:endParaRPr lang="es-PE" sz="1200" b="1" i="0" u="none" strike="noStrike" baseline="0">
            <a:solidFill>
              <a:srgbClr val="FF0000"/>
            </a:solidFill>
            <a:latin typeface="Arial"/>
            <a:cs typeface="Arial"/>
          </a:endParaRPr>
        </a:p>
      </xdr:txBody>
    </xdr:sp>
    <xdr:clientData/>
  </xdr:twoCellAnchor>
  <xdr:twoCellAnchor>
    <xdr:from>
      <xdr:col>3</xdr:col>
      <xdr:colOff>762000</xdr:colOff>
      <xdr:row>54</xdr:row>
      <xdr:rowOff>66675</xdr:rowOff>
    </xdr:from>
    <xdr:to>
      <xdr:col>7</xdr:col>
      <xdr:colOff>561975</xdr:colOff>
      <xdr:row>57</xdr:row>
      <xdr:rowOff>123825</xdr:rowOff>
    </xdr:to>
    <xdr:sp macro="" textlink="">
      <xdr:nvSpPr>
        <xdr:cNvPr id="30208" name="Text Box 512"/>
        <xdr:cNvSpPr txBox="1">
          <a:spLocks noChangeArrowheads="1"/>
        </xdr:cNvSpPr>
      </xdr:nvSpPr>
      <xdr:spPr bwMode="auto">
        <a:xfrm>
          <a:off x="2657475" y="8496300"/>
          <a:ext cx="3590925" cy="6000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s-PE" sz="1000" b="0" i="0" u="none" strike="noStrike" baseline="0">
              <a:solidFill>
                <a:srgbClr val="000000"/>
              </a:solidFill>
              <a:latin typeface="Arial"/>
              <a:cs typeface="Arial"/>
            </a:rPr>
            <a:t>Rectificacion de pesos / adecuacion de carroceria y combustible /  incorporacion de categoria, formula rodante, cilindrada y potencia.</a:t>
          </a:r>
        </a:p>
      </xdr:txBody>
    </xdr:sp>
    <xdr:clientData/>
  </xdr:twoCellAnchor>
  <xdr:twoCellAnchor>
    <xdr:from>
      <xdr:col>14</xdr:col>
      <xdr:colOff>66675</xdr:colOff>
      <xdr:row>59</xdr:row>
      <xdr:rowOff>133350</xdr:rowOff>
    </xdr:from>
    <xdr:to>
      <xdr:col>17</xdr:col>
      <xdr:colOff>704850</xdr:colOff>
      <xdr:row>63</xdr:row>
      <xdr:rowOff>9525</xdr:rowOff>
    </xdr:to>
    <xdr:sp macro="" textlink="">
      <xdr:nvSpPr>
        <xdr:cNvPr id="30209" name="Text Box 513"/>
        <xdr:cNvSpPr txBox="1">
          <a:spLocks noChangeArrowheads="1"/>
        </xdr:cNvSpPr>
      </xdr:nvSpPr>
      <xdr:spPr bwMode="auto">
        <a:xfrm>
          <a:off x="11725275" y="9620250"/>
          <a:ext cx="3524250" cy="6000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s-PE" sz="1000" b="0" i="0" u="none" strike="noStrike" baseline="0">
              <a:solidFill>
                <a:srgbClr val="000000"/>
              </a:solidFill>
              <a:latin typeface="Arial"/>
              <a:cs typeface="Arial"/>
            </a:rPr>
            <a:t>DE  : Ejes=02 / Ruedas=08</a:t>
          </a:r>
        </a:p>
        <a:p>
          <a:pPr algn="l" rtl="0">
            <a:defRPr sz="1000"/>
          </a:pPr>
          <a:r>
            <a:rPr lang="es-PE" sz="1000" b="0" i="0" u="none" strike="noStrike" baseline="0">
              <a:solidFill>
                <a:srgbClr val="000000"/>
              </a:solidFill>
              <a:latin typeface="Arial"/>
              <a:cs typeface="Arial"/>
            </a:rPr>
            <a:t> A    :Ejes=03 / Ruedas=12 </a:t>
          </a:r>
        </a:p>
        <a:p>
          <a:pPr algn="l" rtl="0">
            <a:defRPr sz="1000"/>
          </a:pPr>
          <a:r>
            <a:rPr lang="es-PE" sz="1000" b="0" i="0" u="none" strike="noStrike" baseline="0">
              <a:solidFill>
                <a:srgbClr val="000000"/>
              </a:solidFill>
              <a:latin typeface="Arial"/>
              <a:cs typeface="Arial"/>
            </a:rPr>
            <a:t>Categoria O4, Formula Rodante 3RD</a:t>
          </a:r>
        </a:p>
      </xdr:txBody>
    </xdr:sp>
    <xdr:clientData/>
  </xdr:twoCellAnchor>
  <xdr:twoCellAnchor>
    <xdr:from>
      <xdr:col>15</xdr:col>
      <xdr:colOff>266700</xdr:colOff>
      <xdr:row>149</xdr:row>
      <xdr:rowOff>133350</xdr:rowOff>
    </xdr:from>
    <xdr:to>
      <xdr:col>17</xdr:col>
      <xdr:colOff>685800</xdr:colOff>
      <xdr:row>162</xdr:row>
      <xdr:rowOff>571500</xdr:rowOff>
    </xdr:to>
    <xdr:sp macro="" textlink="">
      <xdr:nvSpPr>
        <xdr:cNvPr id="30210" name="Text Box 514"/>
        <xdr:cNvSpPr txBox="1">
          <a:spLocks noChangeArrowheads="1"/>
        </xdr:cNvSpPr>
      </xdr:nvSpPr>
      <xdr:spPr bwMode="auto">
        <a:xfrm>
          <a:off x="13411200" y="27165300"/>
          <a:ext cx="2352675" cy="30194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s-PE" sz="1000" b="0" i="0" u="none" strike="noStrike" baseline="0">
              <a:solidFill>
                <a:srgbClr val="000000"/>
              </a:solidFill>
              <a:latin typeface="Arial"/>
              <a:cs typeface="Arial"/>
            </a:rPr>
            <a:t>TRACTOR </a:t>
          </a:r>
        </a:p>
        <a:p>
          <a:pPr algn="l" rtl="0">
            <a:defRPr sz="1000"/>
          </a:pPr>
          <a:r>
            <a:rPr lang="es-PE" sz="1000" b="0" i="0" u="none" strike="noStrike" baseline="0">
              <a:solidFill>
                <a:srgbClr val="000000"/>
              </a:solidFill>
              <a:latin typeface="Arial"/>
              <a:cs typeface="Arial"/>
            </a:rPr>
            <a:t>Int Placa SOAT </a:t>
          </a:r>
          <a:r>
            <a:rPr lang="es-PE" sz="1000" b="1" i="0" u="none" strike="noStrike" baseline="0">
              <a:solidFill>
                <a:srgbClr val="000000"/>
              </a:solidFill>
              <a:latin typeface="Arial"/>
              <a:cs typeface="Arial"/>
            </a:rPr>
            <a:t>Año 2016-2017</a:t>
          </a:r>
          <a:endParaRPr lang="es-PE" sz="1000" b="0" i="0" u="none" strike="noStrike" baseline="0">
            <a:solidFill>
              <a:srgbClr val="000000"/>
            </a:solidFill>
            <a:latin typeface="Arial"/>
            <a:cs typeface="Arial"/>
          </a:endParaRPr>
        </a:p>
        <a:p>
          <a:pPr algn="l" rtl="0">
            <a:defRPr sz="1000"/>
          </a:pPr>
          <a:r>
            <a:rPr lang="es-PE" sz="1000" b="0" i="0" u="none" strike="noStrike" baseline="0">
              <a:solidFill>
                <a:srgbClr val="000000"/>
              </a:solidFill>
              <a:latin typeface="Arial"/>
              <a:cs typeface="Arial"/>
            </a:rPr>
            <a:t>101 F5T-774 05/07/2016 2000392573 </a:t>
          </a:r>
        </a:p>
        <a:p>
          <a:pPr algn="l" rtl="0">
            <a:defRPr sz="1000"/>
          </a:pPr>
          <a:r>
            <a:rPr lang="es-PE" sz="1000" b="0" i="0" u="none" strike="noStrike" baseline="0">
              <a:solidFill>
                <a:srgbClr val="000000"/>
              </a:solidFill>
              <a:latin typeface="Arial"/>
              <a:cs typeface="Arial"/>
            </a:rPr>
            <a:t>105 F6Q-803 05/07/2016 2000392583 </a:t>
          </a:r>
        </a:p>
        <a:p>
          <a:pPr algn="l" rtl="0">
            <a:defRPr sz="1000"/>
          </a:pPr>
          <a:r>
            <a:rPr lang="es-PE" sz="1000" b="0" i="0" u="none" strike="noStrike" baseline="0">
              <a:solidFill>
                <a:srgbClr val="000000"/>
              </a:solidFill>
              <a:latin typeface="Arial"/>
              <a:cs typeface="Arial"/>
            </a:rPr>
            <a:t>114 F7O-758 05/07/2016 2000392617 </a:t>
          </a:r>
        </a:p>
        <a:p>
          <a:pPr algn="l" rtl="0">
            <a:defRPr sz="1000"/>
          </a:pPr>
          <a:r>
            <a:rPr lang="es-PE" sz="1000" b="0" i="0" u="none" strike="noStrike" baseline="0">
              <a:solidFill>
                <a:srgbClr val="000000"/>
              </a:solidFill>
              <a:latin typeface="Arial"/>
              <a:cs typeface="Arial"/>
            </a:rPr>
            <a:t>122 C3D-881 05/07/2016 2000392619 </a:t>
          </a:r>
        </a:p>
        <a:p>
          <a:pPr algn="l" rtl="0">
            <a:defRPr sz="1000"/>
          </a:pPr>
          <a:r>
            <a:rPr lang="es-PE" sz="1000" b="0" i="0" u="none" strike="noStrike" baseline="0">
              <a:solidFill>
                <a:srgbClr val="000000"/>
              </a:solidFill>
              <a:latin typeface="Arial"/>
              <a:cs typeface="Arial"/>
            </a:rPr>
            <a:t>123 F6P-936 05/07/2016 2000392622 </a:t>
          </a:r>
        </a:p>
        <a:p>
          <a:pPr algn="l" rtl="0">
            <a:defRPr sz="1000"/>
          </a:pPr>
          <a:r>
            <a:rPr lang="es-PE" sz="1000" b="0" i="0" u="none" strike="noStrike" baseline="0">
              <a:solidFill>
                <a:srgbClr val="000000"/>
              </a:solidFill>
              <a:latin typeface="Arial"/>
              <a:cs typeface="Arial"/>
            </a:rPr>
            <a:t>153 F3Q-893 05/07/2016 2000392627 </a:t>
          </a:r>
        </a:p>
        <a:p>
          <a:pPr algn="l" rtl="0">
            <a:defRPr sz="1000"/>
          </a:pPr>
          <a:r>
            <a:rPr lang="es-PE" sz="1000" b="0" i="0" u="none" strike="noStrike" baseline="0">
              <a:solidFill>
                <a:srgbClr val="000000"/>
              </a:solidFill>
              <a:latin typeface="Arial"/>
              <a:cs typeface="Arial"/>
            </a:rPr>
            <a:t>154 F8J-809 05/07/2016 2000392631 </a:t>
          </a:r>
        </a:p>
        <a:p>
          <a:pPr algn="l" rtl="0">
            <a:defRPr sz="1000"/>
          </a:pPr>
          <a:r>
            <a:rPr lang="es-PE" sz="1000" b="0" i="0" u="none" strike="noStrike" baseline="0">
              <a:solidFill>
                <a:srgbClr val="000000"/>
              </a:solidFill>
              <a:latin typeface="Arial"/>
              <a:cs typeface="Arial"/>
            </a:rPr>
            <a:t>156 F7O-854 05/07/2016 2000392634 </a:t>
          </a:r>
        </a:p>
        <a:p>
          <a:pPr algn="l" rtl="0">
            <a:defRPr sz="1000"/>
          </a:pPr>
          <a:r>
            <a:rPr lang="es-PE" sz="1000" b="0" i="0" u="none" strike="noStrike" baseline="0">
              <a:solidFill>
                <a:srgbClr val="000000"/>
              </a:solidFill>
              <a:latin typeface="Arial"/>
              <a:cs typeface="Arial"/>
            </a:rPr>
            <a:t>160 F5S-708 05/07/2016 2000392636 </a:t>
          </a:r>
        </a:p>
        <a:p>
          <a:pPr algn="l" rtl="0">
            <a:defRPr sz="1000"/>
          </a:pPr>
          <a:r>
            <a:rPr lang="es-PE" sz="1000" b="0" i="0" u="none" strike="noStrike" baseline="0">
              <a:solidFill>
                <a:srgbClr val="000000"/>
              </a:solidFill>
              <a:latin typeface="Arial"/>
              <a:cs typeface="Arial"/>
            </a:rPr>
            <a:t>161 F6Q-807 05/07/2016 2000392667 </a:t>
          </a:r>
        </a:p>
        <a:p>
          <a:pPr algn="l" rtl="0">
            <a:defRPr sz="1000"/>
          </a:pPr>
          <a:r>
            <a:rPr lang="es-PE" sz="1000" b="0" i="0" u="none" strike="noStrike" baseline="0">
              <a:solidFill>
                <a:srgbClr val="000000"/>
              </a:solidFill>
              <a:latin typeface="Arial"/>
              <a:cs typeface="Arial"/>
            </a:rPr>
            <a:t>162 F0D-935 05/07/2016 2000392665 </a:t>
          </a:r>
        </a:p>
        <a:p>
          <a:pPr algn="l" rtl="0">
            <a:defRPr sz="1000"/>
          </a:pPr>
          <a:r>
            <a:rPr lang="es-PE" sz="1000" b="0" i="0" u="none" strike="noStrike" baseline="0">
              <a:solidFill>
                <a:srgbClr val="000000"/>
              </a:solidFill>
              <a:latin typeface="Arial"/>
              <a:cs typeface="Arial"/>
            </a:rPr>
            <a:t>164 F2R-709 05/07/2016 2000392660 </a:t>
          </a:r>
        </a:p>
        <a:p>
          <a:pPr algn="l" rtl="0">
            <a:defRPr sz="1000"/>
          </a:pPr>
          <a:r>
            <a:rPr lang="es-PE" sz="1000" b="0" i="0" u="none" strike="noStrike" baseline="0">
              <a:solidFill>
                <a:srgbClr val="000000"/>
              </a:solidFill>
              <a:latin typeface="Arial"/>
              <a:cs typeface="Arial"/>
            </a:rPr>
            <a:t>165 F1R-851 05/07/2016 2000392656 </a:t>
          </a:r>
        </a:p>
        <a:p>
          <a:pPr algn="l" rtl="0">
            <a:defRPr sz="1000"/>
          </a:pPr>
          <a:r>
            <a:rPr lang="es-PE" sz="1000" b="0" i="0" u="none" strike="noStrike" baseline="0">
              <a:solidFill>
                <a:srgbClr val="000000"/>
              </a:solidFill>
              <a:latin typeface="Arial"/>
              <a:cs typeface="Arial"/>
            </a:rPr>
            <a:t>166 F2R-880 05/07/2016 2000392653 </a:t>
          </a:r>
        </a:p>
        <a:p>
          <a:pPr algn="l" rtl="0">
            <a:defRPr sz="1000"/>
          </a:pPr>
          <a:r>
            <a:rPr lang="es-PE" sz="1000" b="0" i="0" u="none" strike="noStrike" baseline="0">
              <a:solidFill>
                <a:srgbClr val="000000"/>
              </a:solidFill>
              <a:latin typeface="Arial"/>
              <a:cs typeface="Arial"/>
            </a:rPr>
            <a:t>167 F3P-863 05/07/2016 2000392648 </a:t>
          </a:r>
        </a:p>
        <a:p>
          <a:pPr algn="l" rtl="0">
            <a:defRPr sz="1000"/>
          </a:pPr>
          <a:r>
            <a:rPr lang="es-PE" sz="1000" b="0" i="0" u="none" strike="noStrike" baseline="0">
              <a:solidFill>
                <a:srgbClr val="000000"/>
              </a:solidFill>
              <a:latin typeface="Arial"/>
              <a:cs typeface="Arial"/>
            </a:rPr>
            <a:t>169 F4T-845 05/07/2016 2000392641 </a:t>
          </a:r>
        </a:p>
        <a:p>
          <a:pPr algn="l" rtl="0">
            <a:defRPr sz="1000"/>
          </a:pPr>
          <a:r>
            <a:rPr lang="es-PE" sz="1000" b="0" i="0" u="none" strike="noStrike" baseline="0">
              <a:solidFill>
                <a:srgbClr val="000000"/>
              </a:solidFill>
              <a:latin typeface="Arial"/>
              <a:cs typeface="Arial"/>
            </a:rPr>
            <a:t>170 F5T-772 05/07/2016 2000392640 </a:t>
          </a:r>
        </a:p>
        <a:p>
          <a:pPr algn="l" rtl="0">
            <a:defRPr sz="1000"/>
          </a:pPr>
          <a:endParaRPr lang="es-PE" sz="1000" b="0" i="0" u="none" strike="noStrike" baseline="0">
            <a:solidFill>
              <a:srgbClr val="000000"/>
            </a:solidFill>
            <a:latin typeface="Arial"/>
            <a:cs typeface="Arial"/>
          </a:endParaRPr>
        </a:p>
      </xdr:txBody>
    </xdr:sp>
    <xdr:clientData/>
  </xdr:twoCellAnchor>
  <xdr:twoCellAnchor>
    <xdr:from>
      <xdr:col>12</xdr:col>
      <xdr:colOff>762502</xdr:colOff>
      <xdr:row>177</xdr:row>
      <xdr:rowOff>69182</xdr:rowOff>
    </xdr:from>
    <xdr:to>
      <xdr:col>16</xdr:col>
      <xdr:colOff>562557</xdr:colOff>
      <xdr:row>180</xdr:row>
      <xdr:rowOff>122655</xdr:rowOff>
    </xdr:to>
    <xdr:sp macro="" textlink="">
      <xdr:nvSpPr>
        <xdr:cNvPr id="2" name="Text Box 512"/>
        <xdr:cNvSpPr txBox="1">
          <a:spLocks noChangeArrowheads="1"/>
        </xdr:cNvSpPr>
      </xdr:nvSpPr>
      <xdr:spPr bwMode="auto">
        <a:xfrm>
          <a:off x="2657475" y="8496300"/>
          <a:ext cx="3590925" cy="6000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s-PE" sz="1000" b="0" i="0" u="none" strike="noStrike" baseline="0">
              <a:solidFill>
                <a:srgbClr val="000000"/>
              </a:solidFill>
              <a:latin typeface="Arial"/>
              <a:cs typeface="Arial"/>
            </a:rPr>
            <a:t>Rectificacion de pesos / adecuacion de carroceria y combustible /  incorporacion de categoria, formula rodante, cilindrada y potencia.</a:t>
          </a:r>
        </a:p>
      </xdr:txBody>
    </xdr:sp>
    <xdr:clientData/>
  </xdr:twoCellAnchor>
  <xdr:twoCellAnchor>
    <xdr:from>
      <xdr:col>12</xdr:col>
      <xdr:colOff>388019</xdr:colOff>
      <xdr:row>191</xdr:row>
      <xdr:rowOff>64670</xdr:rowOff>
    </xdr:from>
    <xdr:to>
      <xdr:col>16</xdr:col>
      <xdr:colOff>315776</xdr:colOff>
      <xdr:row>194</xdr:row>
      <xdr:rowOff>128170</xdr:rowOff>
    </xdr:to>
    <xdr:sp macro="" textlink="">
      <xdr:nvSpPr>
        <xdr:cNvPr id="3" name="Text Box 513"/>
        <xdr:cNvSpPr txBox="1">
          <a:spLocks noChangeArrowheads="1"/>
        </xdr:cNvSpPr>
      </xdr:nvSpPr>
      <xdr:spPr bwMode="auto">
        <a:xfrm>
          <a:off x="7000875" y="8496300"/>
          <a:ext cx="3590925" cy="6000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s-PE" sz="1000" b="0" i="0" u="none" strike="noStrike" baseline="0">
              <a:solidFill>
                <a:srgbClr val="000000"/>
              </a:solidFill>
              <a:latin typeface="Arial"/>
              <a:cs typeface="Arial"/>
            </a:rPr>
            <a:t>DE  : Ejes=02 / Ruedas=08</a:t>
          </a:r>
        </a:p>
        <a:p>
          <a:pPr algn="l" rtl="0">
            <a:defRPr sz="1000"/>
          </a:pPr>
          <a:r>
            <a:rPr lang="es-PE" sz="1000" b="0" i="0" u="none" strike="noStrike" baseline="0">
              <a:solidFill>
                <a:srgbClr val="000000"/>
              </a:solidFill>
              <a:latin typeface="Arial"/>
              <a:cs typeface="Arial"/>
            </a:rPr>
            <a:t> A    :Ejes=03 / Ruedas=12 </a:t>
          </a:r>
        </a:p>
        <a:p>
          <a:pPr algn="l" rtl="0">
            <a:defRPr sz="1000"/>
          </a:pPr>
          <a:r>
            <a:rPr lang="es-PE" sz="1000" b="0" i="0" u="none" strike="noStrike" baseline="0">
              <a:solidFill>
                <a:srgbClr val="000000"/>
              </a:solidFill>
              <a:latin typeface="Arial"/>
              <a:cs typeface="Arial"/>
            </a:rPr>
            <a:t>Categoria O4, Formula Rodante 3RD</a:t>
          </a:r>
        </a:p>
      </xdr:txBody>
    </xdr:sp>
    <xdr:clientData/>
  </xdr:twoCellAnchor>
  <xdr:twoCellAnchor editAs="oneCell">
    <xdr:from>
      <xdr:col>25</xdr:col>
      <xdr:colOff>519867</xdr:colOff>
      <xdr:row>37</xdr:row>
      <xdr:rowOff>80219</xdr:rowOff>
    </xdr:from>
    <xdr:to>
      <xdr:col>28</xdr:col>
      <xdr:colOff>137152</xdr:colOff>
      <xdr:row>52</xdr:row>
      <xdr:rowOff>8977</xdr:rowOff>
    </xdr:to>
    <xdr:pic>
      <xdr:nvPicPr>
        <xdr:cNvPr id="30380" name="Picture 684"/>
        <xdr:cNvPicPr>
          <a:picLocks noChangeAspect="1" noChangeArrowheads="1"/>
        </xdr:cNvPicPr>
      </xdr:nvPicPr>
      <xdr:blipFill>
        <a:blip xmlns:r="http://schemas.openxmlformats.org/officeDocument/2006/relationships" r:embed="rId1"/>
        <a:srcRect l="36042" t="45000" r="41389" b="13444"/>
        <a:stretch>
          <a:fillRect/>
        </a:stretch>
      </xdr:blipFill>
      <xdr:spPr bwMode="auto">
        <a:xfrm>
          <a:off x="23750841" y="6837956"/>
          <a:ext cx="2324390" cy="2665942"/>
        </a:xfrm>
        <a:prstGeom prst="rect">
          <a:avLst/>
        </a:prstGeom>
        <a:noFill/>
        <a:ln w="1">
          <a:noFill/>
          <a:miter lim="800000"/>
          <a:headEnd/>
          <a:tailEnd type="none" w="med" len="med"/>
        </a:ln>
        <a:effectLst/>
      </xdr:spPr>
    </xdr:pic>
    <xdr:clientData/>
  </xdr:twoCellAnchor>
  <xdr:twoCellAnchor editAs="oneCell">
    <xdr:from>
      <xdr:col>28</xdr:col>
      <xdr:colOff>174460</xdr:colOff>
      <xdr:row>37</xdr:row>
      <xdr:rowOff>31087</xdr:rowOff>
    </xdr:from>
    <xdr:to>
      <xdr:col>30</xdr:col>
      <xdr:colOff>780310</xdr:colOff>
      <xdr:row>52</xdr:row>
      <xdr:rowOff>75980</xdr:rowOff>
    </xdr:to>
    <xdr:pic>
      <xdr:nvPicPr>
        <xdr:cNvPr id="30381" name="Picture 685"/>
        <xdr:cNvPicPr>
          <a:picLocks noChangeAspect="1" noChangeArrowheads="1"/>
        </xdr:cNvPicPr>
      </xdr:nvPicPr>
      <xdr:blipFill>
        <a:blip xmlns:r="http://schemas.openxmlformats.org/officeDocument/2006/relationships" r:embed="rId2"/>
        <a:srcRect l="36250" t="43778" r="42569" b="15555"/>
        <a:stretch>
          <a:fillRect/>
        </a:stretch>
      </xdr:blipFill>
      <xdr:spPr bwMode="auto">
        <a:xfrm>
          <a:off x="26112539" y="6788824"/>
          <a:ext cx="2330376" cy="2782077"/>
        </a:xfrm>
        <a:prstGeom prst="rect">
          <a:avLst/>
        </a:prstGeom>
        <a:noFill/>
        <a:ln w="1">
          <a:noFill/>
          <a:miter lim="800000"/>
          <a:headEnd/>
          <a:tailEnd type="none" w="med" len="med"/>
        </a:ln>
        <a:effec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19050</xdr:colOff>
      <xdr:row>0</xdr:row>
      <xdr:rowOff>66675</xdr:rowOff>
    </xdr:from>
    <xdr:to>
      <xdr:col>4</xdr:col>
      <xdr:colOff>493643</xdr:colOff>
      <xdr:row>2</xdr:row>
      <xdr:rowOff>38100</xdr:rowOff>
    </xdr:to>
    <xdr:pic>
      <xdr:nvPicPr>
        <xdr:cNvPr id="33876" name="Picture 1" descr="http://www.mtc.gob.pe/tramitesenlinea/tweb_tLinea/Imagenes/logo_web.jpg"/>
        <xdr:cNvPicPr>
          <a:picLocks noChangeAspect="1" noChangeArrowheads="1"/>
        </xdr:cNvPicPr>
      </xdr:nvPicPr>
      <xdr:blipFill>
        <a:blip xmlns:r="http://schemas.openxmlformats.org/officeDocument/2006/relationships" r:embed="rId1" cstate="print"/>
        <a:srcRect/>
        <a:stretch>
          <a:fillRect/>
        </a:stretch>
      </xdr:blipFill>
      <xdr:spPr bwMode="auto">
        <a:xfrm>
          <a:off x="266700" y="66675"/>
          <a:ext cx="1905000" cy="295275"/>
        </a:xfrm>
        <a:prstGeom prst="rect">
          <a:avLst/>
        </a:prstGeom>
        <a:noFill/>
        <a:ln w="9525">
          <a:noFill/>
          <a:miter lim="800000"/>
          <a:headEnd/>
          <a:tailEnd/>
        </a:ln>
      </xdr:spPr>
    </xdr:pic>
    <xdr:clientData/>
  </xdr:twoCellAnchor>
  <xdr:twoCellAnchor editAs="oneCell">
    <xdr:from>
      <xdr:col>12</xdr:col>
      <xdr:colOff>19050</xdr:colOff>
      <xdr:row>0</xdr:row>
      <xdr:rowOff>66675</xdr:rowOff>
    </xdr:from>
    <xdr:to>
      <xdr:col>17</xdr:col>
      <xdr:colOff>13252</xdr:colOff>
      <xdr:row>2</xdr:row>
      <xdr:rowOff>38100</xdr:rowOff>
    </xdr:to>
    <xdr:pic>
      <xdr:nvPicPr>
        <xdr:cNvPr id="3" name="Picture 1" descr="http://www.mtc.gob.pe/tramitesenlinea/tweb_tLinea/Imagenes/logo_web.jpg"/>
        <xdr:cNvPicPr>
          <a:picLocks noChangeAspect="1" noChangeArrowheads="1"/>
        </xdr:cNvPicPr>
      </xdr:nvPicPr>
      <xdr:blipFill>
        <a:blip xmlns:r="http://schemas.openxmlformats.org/officeDocument/2006/relationships" r:embed="rId1" cstate="print"/>
        <a:srcRect/>
        <a:stretch>
          <a:fillRect/>
        </a:stretch>
      </xdr:blipFill>
      <xdr:spPr bwMode="auto">
        <a:xfrm>
          <a:off x="267528" y="66675"/>
          <a:ext cx="1907485" cy="302729"/>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34</xdr:col>
      <xdr:colOff>504825</xdr:colOff>
      <xdr:row>106</xdr:row>
      <xdr:rowOff>200025</xdr:rowOff>
    </xdr:from>
    <xdr:to>
      <xdr:col>41</xdr:col>
      <xdr:colOff>76200</xdr:colOff>
      <xdr:row>121</xdr:row>
      <xdr:rowOff>85725</xdr:rowOff>
    </xdr:to>
    <xdr:sp macro="" textlink="">
      <xdr:nvSpPr>
        <xdr:cNvPr id="4229" name="Text Box 133"/>
        <xdr:cNvSpPr txBox="1">
          <a:spLocks noChangeArrowheads="1"/>
        </xdr:cNvSpPr>
      </xdr:nvSpPr>
      <xdr:spPr bwMode="auto">
        <a:xfrm>
          <a:off x="24488775" y="21069300"/>
          <a:ext cx="4362450" cy="24193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s-PE" sz="1000" b="0" i="0" u="none" strike="noStrike" baseline="0">
              <a:solidFill>
                <a:srgbClr val="000000"/>
              </a:solidFill>
              <a:latin typeface="Arial"/>
              <a:cs typeface="Arial"/>
            </a:rPr>
            <a:t>DATOS PERSONALES</a:t>
          </a:r>
        </a:p>
        <a:p>
          <a:pPr algn="l" rtl="0">
            <a:defRPr sz="1000"/>
          </a:pPr>
          <a:r>
            <a:rPr lang="es-PE" sz="1000" b="0" i="0" u="none" strike="noStrike" baseline="0">
              <a:solidFill>
                <a:srgbClr val="000000"/>
              </a:solidFill>
              <a:latin typeface="Arial"/>
              <a:cs typeface="Arial"/>
            </a:rPr>
            <a:t>Nombres REQUEJO HERNANDEZ, POMPEYO LE/DNI 42258888</a:t>
          </a:r>
        </a:p>
        <a:p>
          <a:pPr algn="l" rtl="0">
            <a:defRPr sz="1000"/>
          </a:pPr>
          <a:r>
            <a:rPr lang="es-PE" sz="1000" b="0" i="0" u="none" strike="noStrike" baseline="0">
              <a:solidFill>
                <a:srgbClr val="000000"/>
              </a:solidFill>
              <a:latin typeface="Arial"/>
              <a:cs typeface="Arial"/>
            </a:rPr>
            <a:t>Tipo de Asegurado TITULAR Autogenerado </a:t>
          </a:r>
          <a:r>
            <a:rPr lang="es-PE" sz="1600" b="0" i="0" u="none" strike="noStrike" baseline="0">
              <a:solidFill>
                <a:srgbClr val="FF0000"/>
              </a:solidFill>
              <a:latin typeface="Arial"/>
              <a:cs typeface="Arial"/>
            </a:rPr>
            <a:t>84-02-17</a:t>
          </a:r>
          <a:r>
            <a:rPr lang="es-PE" sz="1000" b="0" i="0" u="none" strike="noStrike" baseline="0">
              <a:solidFill>
                <a:srgbClr val="000000"/>
              </a:solidFill>
              <a:latin typeface="Arial"/>
              <a:cs typeface="Arial"/>
            </a:rPr>
            <a:t>1RUHNP003</a:t>
          </a:r>
        </a:p>
        <a:p>
          <a:pPr algn="l" rtl="0">
            <a:defRPr sz="1000"/>
          </a:pPr>
          <a:r>
            <a:rPr lang="es-PE" sz="1000" b="0" i="0" u="none" strike="noStrike" baseline="0">
              <a:solidFill>
                <a:srgbClr val="000000"/>
              </a:solidFill>
              <a:latin typeface="Arial"/>
              <a:cs typeface="Arial"/>
            </a:rPr>
            <a:t>    Tipo de Seguro REGULAR</a:t>
          </a:r>
        </a:p>
        <a:p>
          <a:pPr algn="l" rtl="0">
            <a:defRPr sz="1000"/>
          </a:pPr>
          <a:r>
            <a:rPr lang="es-PE" sz="1000" b="0" i="0" u="none" strike="noStrike" baseline="0">
              <a:solidFill>
                <a:srgbClr val="000000"/>
              </a:solidFill>
              <a:latin typeface="Arial"/>
              <a:cs typeface="Arial"/>
            </a:rPr>
            <a:t> ACREDITACION Vigencia de Atención</a:t>
          </a:r>
        </a:p>
        <a:p>
          <a:pPr algn="l" rtl="0">
            <a:defRPr sz="1000"/>
          </a:pPr>
          <a:r>
            <a:rPr lang="es-PE" sz="1000" b="0" i="0" u="none" strike="noStrike" baseline="0">
              <a:solidFill>
                <a:srgbClr val="000000"/>
              </a:solidFill>
              <a:latin typeface="Arial"/>
              <a:cs typeface="Arial"/>
            </a:rPr>
            <a:t>Centro Asistencial POL SAN LUIS Desde 01/06/2015</a:t>
          </a:r>
        </a:p>
        <a:p>
          <a:pPr algn="l" rtl="0">
            <a:defRPr sz="1000"/>
          </a:pPr>
          <a:r>
            <a:rPr lang="es-PE" sz="1000" b="0" i="0" u="none" strike="noStrike" baseline="0">
              <a:solidFill>
                <a:srgbClr val="000000"/>
              </a:solidFill>
              <a:latin typeface="Arial"/>
              <a:cs typeface="Arial"/>
            </a:rPr>
            <a:t>Dirección C.A. Av. Circunvalacion 2189, San Luis Hasta 30/06/2015</a:t>
          </a:r>
        </a:p>
        <a:p>
          <a:pPr algn="l" rtl="0">
            <a:defRPr sz="1000"/>
          </a:pPr>
          <a:r>
            <a:rPr lang="es-PE" sz="1000" b="0" i="0" u="none" strike="noStrike" baseline="0">
              <a:solidFill>
                <a:srgbClr val="000000"/>
              </a:solidFill>
              <a:latin typeface="Arial"/>
              <a:cs typeface="Arial"/>
            </a:rPr>
            <a:t>Afiliado(a) a EPS  </a:t>
          </a:r>
        </a:p>
        <a:p>
          <a:pPr algn="l" rtl="0">
            <a:defRPr sz="1000"/>
          </a:pPr>
          <a:r>
            <a:rPr lang="es-PE" sz="1000" b="0" i="0" u="none" strike="noStrike" baseline="0">
              <a:solidFill>
                <a:srgbClr val="000000"/>
              </a:solidFill>
              <a:latin typeface="Arial"/>
              <a:cs typeface="Arial"/>
            </a:rPr>
            <a:t>Razón Social EPS PACIFICO S.A. ENT. PRESTADORA DE SALUD</a:t>
          </a:r>
        </a:p>
        <a:p>
          <a:pPr algn="l" rtl="0">
            <a:defRPr sz="1000"/>
          </a:pPr>
          <a:r>
            <a:rPr lang="es-PE" sz="1000" b="0" i="0" u="none" strike="noStrike" baseline="0">
              <a:solidFill>
                <a:srgbClr val="000000"/>
              </a:solidFill>
              <a:latin typeface="Arial"/>
              <a:cs typeface="Arial"/>
            </a:rPr>
            <a:t> </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38100</xdr:colOff>
      <xdr:row>0</xdr:row>
      <xdr:rowOff>38100</xdr:rowOff>
    </xdr:from>
    <xdr:to>
      <xdr:col>5</xdr:col>
      <xdr:colOff>419100</xdr:colOff>
      <xdr:row>2</xdr:row>
      <xdr:rowOff>0</xdr:rowOff>
    </xdr:to>
    <xdr:pic>
      <xdr:nvPicPr>
        <xdr:cNvPr id="18662" name="Picture 3" descr="http://www.mtc.gob.pe/trans_carga/a/imagenes/logo_web.jpg"/>
        <xdr:cNvPicPr>
          <a:picLocks noChangeAspect="1" noChangeArrowheads="1"/>
        </xdr:cNvPicPr>
      </xdr:nvPicPr>
      <xdr:blipFill>
        <a:blip xmlns:r="http://schemas.openxmlformats.org/officeDocument/2006/relationships" r:embed="rId1" cstate="print"/>
        <a:srcRect/>
        <a:stretch>
          <a:fillRect/>
        </a:stretch>
      </xdr:blipFill>
      <xdr:spPr bwMode="auto">
        <a:xfrm>
          <a:off x="895350" y="38100"/>
          <a:ext cx="1905000" cy="285750"/>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38100</xdr:colOff>
      <xdr:row>0</xdr:row>
      <xdr:rowOff>38100</xdr:rowOff>
    </xdr:from>
    <xdr:to>
      <xdr:col>5</xdr:col>
      <xdr:colOff>419100</xdr:colOff>
      <xdr:row>2</xdr:row>
      <xdr:rowOff>0</xdr:rowOff>
    </xdr:to>
    <xdr:pic>
      <xdr:nvPicPr>
        <xdr:cNvPr id="17862" name="Picture 3" descr="http://www.mtc.gob.pe/trans_carga/a/imagenes/logo_web.jpg"/>
        <xdr:cNvPicPr>
          <a:picLocks noChangeAspect="1" noChangeArrowheads="1"/>
        </xdr:cNvPicPr>
      </xdr:nvPicPr>
      <xdr:blipFill>
        <a:blip xmlns:r="http://schemas.openxmlformats.org/officeDocument/2006/relationships" r:embed="rId1" cstate="print"/>
        <a:srcRect/>
        <a:stretch>
          <a:fillRect/>
        </a:stretch>
      </xdr:blipFill>
      <xdr:spPr bwMode="auto">
        <a:xfrm>
          <a:off x="895350" y="38100"/>
          <a:ext cx="1905000" cy="285750"/>
        </a:xfrm>
        <a:prstGeom prst="rect">
          <a:avLst/>
        </a:prstGeom>
        <a:noFill/>
        <a:ln w="9525">
          <a:noFill/>
          <a:miter lim="800000"/>
          <a:headEnd/>
          <a:tailEnd/>
        </a:ln>
      </xdr:spPr>
    </xdr:pic>
    <xdr:clientData/>
  </xdr:twoCellAnchor>
  <xdr:twoCellAnchor>
    <xdr:from>
      <xdr:col>23</xdr:col>
      <xdr:colOff>124933</xdr:colOff>
      <xdr:row>4</xdr:row>
      <xdr:rowOff>123825</xdr:rowOff>
    </xdr:from>
    <xdr:to>
      <xdr:col>29</xdr:col>
      <xdr:colOff>732808</xdr:colOff>
      <xdr:row>39</xdr:row>
      <xdr:rowOff>96385</xdr:rowOff>
    </xdr:to>
    <xdr:sp macro="" textlink="">
      <xdr:nvSpPr>
        <xdr:cNvPr id="17429" name="Text Box 21"/>
        <xdr:cNvSpPr txBox="1">
          <a:spLocks noChangeArrowheads="1"/>
        </xdr:cNvSpPr>
      </xdr:nvSpPr>
      <xdr:spPr bwMode="auto">
        <a:xfrm>
          <a:off x="17611725" y="781050"/>
          <a:ext cx="5172075" cy="57245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s-PE" sz="1000" b="0" i="0" u="none" strike="noStrike" baseline="0">
              <a:solidFill>
                <a:srgbClr val="000000"/>
              </a:solidFill>
              <a:latin typeface="Arial"/>
              <a:cs typeface="Arial"/>
            </a:rPr>
            <a:t>Señores</a:t>
          </a:r>
        </a:p>
        <a:p>
          <a:pPr algn="l" rtl="0">
            <a:defRPr sz="1000"/>
          </a:pPr>
          <a:r>
            <a:rPr lang="es-PE" sz="1000" b="0" i="0" u="none" strike="noStrike" baseline="0">
              <a:solidFill>
                <a:srgbClr val="000000"/>
              </a:solidFill>
              <a:latin typeface="Arial"/>
              <a:cs typeface="Arial"/>
            </a:rPr>
            <a:t>SUTRAN</a:t>
          </a:r>
        </a:p>
        <a:p>
          <a:pPr algn="l" rtl="0">
            <a:defRPr sz="1000"/>
          </a:pPr>
          <a:r>
            <a:rPr lang="es-PE" sz="1000" b="0" i="0" u="none" strike="noStrike" baseline="0">
              <a:solidFill>
                <a:srgbClr val="000000"/>
              </a:solidFill>
              <a:latin typeface="Arial"/>
              <a:cs typeface="Arial"/>
            </a:rPr>
            <a:t>Presente.-</a:t>
          </a:r>
        </a:p>
        <a:p>
          <a:pPr algn="l" rtl="0">
            <a:defRPr sz="1000"/>
          </a:pPr>
          <a:endParaRPr lang="es-PE" sz="1000" b="0" i="0" u="none" strike="noStrike" baseline="0">
            <a:solidFill>
              <a:srgbClr val="000000"/>
            </a:solidFill>
            <a:latin typeface="Arial"/>
            <a:cs typeface="Arial"/>
          </a:endParaRPr>
        </a:p>
        <a:p>
          <a:pPr algn="l" rtl="0">
            <a:defRPr sz="1000"/>
          </a:pPr>
          <a:r>
            <a:rPr lang="es-PE" sz="1000" b="0" i="0" u="none" strike="noStrike" baseline="0">
              <a:solidFill>
                <a:srgbClr val="000000"/>
              </a:solidFill>
              <a:latin typeface="Arial"/>
              <a:cs typeface="Arial"/>
            </a:rPr>
            <a:t>TRANSPORTE COMERCIAL Y SEGURO TAKUSHI S.A.C., identificado con RUC Nº 20492292592; domiciliado en Av. Oquendo 8680 – Dist. Callao – Prov. Callao – Dpto. Lima, con teléfono 577-5333 representado por Cesar Enrique Quispe Ramos con DNI Nº 08238398; me presento ante ustedes a fin de solicitar se me extienda el record de sanciones al respecto de:</a:t>
          </a:r>
        </a:p>
        <a:p>
          <a:pPr algn="l" rtl="0">
            <a:defRPr sz="1000"/>
          </a:pPr>
          <a:r>
            <a:rPr lang="es-PE" sz="1000" b="0" i="0" u="none" strike="noStrike" baseline="0">
              <a:solidFill>
                <a:srgbClr val="000000"/>
              </a:solidFill>
              <a:latin typeface="Arial"/>
              <a:cs typeface="Arial"/>
            </a:rPr>
            <a:t>extienda el record de sanciones al respecto de:</a:t>
          </a:r>
        </a:p>
        <a:p>
          <a:pPr algn="l" rtl="0">
            <a:defRPr sz="1000"/>
          </a:pPr>
          <a:r>
            <a:rPr lang="es-PE" sz="1000" b="0" i="0" u="none" strike="noStrike" baseline="0">
              <a:solidFill>
                <a:srgbClr val="000000"/>
              </a:solidFill>
              <a:latin typeface="Arial"/>
              <a:cs typeface="Arial"/>
            </a:rPr>
            <a:t>a) Acta de Control.</a:t>
          </a:r>
        </a:p>
        <a:p>
          <a:pPr algn="l" rtl="0">
            <a:defRPr sz="1000"/>
          </a:pPr>
          <a:r>
            <a:rPr lang="es-PE" sz="1000" b="0" i="0" u="none" strike="noStrike" baseline="0">
              <a:solidFill>
                <a:srgbClr val="000000"/>
              </a:solidFill>
              <a:latin typeface="Arial"/>
              <a:cs typeface="Arial"/>
            </a:rPr>
            <a:t>b) Formulario de Infracción.</a:t>
          </a:r>
        </a:p>
        <a:p>
          <a:pPr algn="l" rtl="0">
            <a:defRPr sz="1000"/>
          </a:pPr>
          <a:r>
            <a:rPr lang="es-PE" sz="1000" b="0" i="0" u="none" strike="noStrike" baseline="0">
              <a:solidFill>
                <a:srgbClr val="000000"/>
              </a:solidFill>
              <a:latin typeface="Arial"/>
              <a:cs typeface="Arial"/>
            </a:rPr>
            <a:t>c) Otros: Acta de Verificación, Acta de Tolerancia Cero.</a:t>
          </a:r>
        </a:p>
        <a:p>
          <a:pPr algn="l" rtl="0">
            <a:defRPr sz="1000"/>
          </a:pPr>
          <a:r>
            <a:rPr lang="es-PE" sz="1000" b="0" i="0" u="none" strike="noStrike" baseline="0">
              <a:solidFill>
                <a:srgbClr val="000000"/>
              </a:solidFill>
              <a:latin typeface="Arial"/>
              <a:cs typeface="Arial"/>
            </a:rPr>
            <a:t>De los vehículos placas de rodaje números detallados en el ANEXO adjunto al presente; Sin otro particular, solicito a Usted tener presente lo requerido y proporcionar la información solicitada.</a:t>
          </a:r>
        </a:p>
        <a:p>
          <a:pPr algn="l" rtl="0">
            <a:defRPr sz="1000"/>
          </a:pPr>
          <a:endParaRPr lang="es-PE" sz="1000" b="0" i="0" u="none" strike="noStrike" baseline="0">
            <a:solidFill>
              <a:srgbClr val="000000"/>
            </a:solidFill>
            <a:latin typeface="Arial"/>
            <a:cs typeface="Arial"/>
          </a:endParaRPr>
        </a:p>
        <a:p>
          <a:pPr algn="l" rtl="0">
            <a:defRPr sz="1000"/>
          </a:pPr>
          <a:r>
            <a:rPr lang="es-PE" sz="1000" b="0" i="0" u="none" strike="noStrike" baseline="0">
              <a:solidFill>
                <a:srgbClr val="000000"/>
              </a:solidFill>
              <a:latin typeface="Arial"/>
              <a:cs typeface="Arial"/>
            </a:rPr>
            <a:t>Callao, 18 de Mayo del 2011</a:t>
          </a:r>
        </a:p>
        <a:p>
          <a:pPr algn="l" rtl="0">
            <a:defRPr sz="1000"/>
          </a:pPr>
          <a:endParaRPr lang="es-PE" sz="1000" b="0" i="0" u="none" strike="noStrike" baseline="0">
            <a:solidFill>
              <a:srgbClr val="000000"/>
            </a:solidFill>
            <a:latin typeface="Arial"/>
            <a:cs typeface="Arial"/>
          </a:endParaRPr>
        </a:p>
        <a:p>
          <a:pPr algn="l" rtl="0">
            <a:defRPr sz="1000"/>
          </a:pPr>
          <a:r>
            <a:rPr lang="es-PE" sz="1000" b="0" i="0" u="none" strike="noStrike" baseline="0">
              <a:solidFill>
                <a:srgbClr val="000000"/>
              </a:solidFill>
              <a:latin typeface="Arial"/>
              <a:cs typeface="Arial"/>
            </a:rPr>
            <a:t>Cesar Enrique Quispe Ramos </a:t>
          </a:r>
        </a:p>
        <a:p>
          <a:pPr algn="l" rtl="0">
            <a:defRPr sz="1000"/>
          </a:pPr>
          <a:r>
            <a:rPr lang="es-PE" sz="1000" b="0" i="0" u="none" strike="noStrike" baseline="0">
              <a:solidFill>
                <a:srgbClr val="000000"/>
              </a:solidFill>
              <a:latin typeface="Arial"/>
              <a:cs typeface="Arial"/>
            </a:rPr>
            <a:t>DNI Nº 08238398</a:t>
          </a:r>
        </a:p>
        <a:p>
          <a:pPr algn="l" rtl="0">
            <a:defRPr sz="1000"/>
          </a:pPr>
          <a:endParaRPr lang="es-PE" sz="1000" b="0" i="0" u="none" strike="noStrike" baseline="0">
            <a:solidFill>
              <a:srgbClr val="000000"/>
            </a:solidFill>
            <a:latin typeface="Arial"/>
            <a:cs typeface="Arial"/>
          </a:endParaRPr>
        </a:p>
        <a:p>
          <a:pPr algn="l" rtl="0">
            <a:defRPr sz="1000"/>
          </a:pPr>
          <a:r>
            <a:rPr lang="es-PE" sz="1000" b="0" i="0" u="none" strike="noStrike" baseline="0">
              <a:solidFill>
                <a:srgbClr val="000000"/>
              </a:solidFill>
              <a:latin typeface="Arial"/>
              <a:cs typeface="Arial"/>
            </a:rPr>
            <a:t>Por el presente de acuerdo a lo estipulado en el articulo 20º inciso 20.1.2 Ley 27444 (Ley del Procedimiento Administrativo General).</a:t>
          </a:r>
        </a:p>
        <a:p>
          <a:pPr algn="l" rtl="0">
            <a:defRPr sz="1000"/>
          </a:pPr>
          <a:endParaRPr lang="es-PE" sz="1000" b="0" i="0" u="none" strike="noStrike" baseline="0">
            <a:solidFill>
              <a:srgbClr val="000000"/>
            </a:solidFill>
            <a:latin typeface="Arial"/>
            <a:cs typeface="Arial"/>
          </a:endParaRPr>
        </a:p>
        <a:p>
          <a:pPr algn="l" rtl="0">
            <a:defRPr sz="1000"/>
          </a:pPr>
          <a:r>
            <a:rPr lang="es-PE" sz="1000" b="0" i="0" u="none" strike="noStrike" baseline="0">
              <a:solidFill>
                <a:srgbClr val="000000"/>
              </a:solidFill>
              <a:latin typeface="Arial"/>
              <a:cs typeface="Arial"/>
            </a:rPr>
            <a:t>Yo, Cesar Enrique Quispe Ramos, con DNI Nº 08238398 SI Autorizo a ser notificado a la siguiente dirección electrónica: </a:t>
          </a:r>
        </a:p>
        <a:p>
          <a:pPr algn="l" rtl="0">
            <a:defRPr sz="1000"/>
          </a:pPr>
          <a:endParaRPr lang="es-PE" sz="1000" b="0" i="0" u="none" strike="noStrike" baseline="0">
            <a:solidFill>
              <a:srgbClr val="000000"/>
            </a:solidFill>
            <a:latin typeface="Arial"/>
            <a:cs typeface="Arial"/>
          </a:endParaRPr>
        </a:p>
        <a:p>
          <a:pPr algn="l" rtl="0">
            <a:defRPr sz="1000"/>
          </a:pPr>
          <a:r>
            <a:rPr lang="es-PE" sz="1000" b="0" i="0" u="none" strike="noStrike" baseline="0">
              <a:solidFill>
                <a:srgbClr val="000000"/>
              </a:solidFill>
              <a:latin typeface="Arial"/>
              <a:cs typeface="Arial"/>
            </a:rPr>
            <a:t>cesarq@transcosta.com.pe  </a:t>
          </a:r>
        </a:p>
        <a:p>
          <a:pPr algn="l" rtl="0">
            <a:defRPr sz="1000"/>
          </a:pPr>
          <a:endParaRPr lang="es-PE" sz="1000" b="0" i="0" u="none" strike="noStrike" baseline="0">
            <a:solidFill>
              <a:srgbClr val="000000"/>
            </a:solidFill>
            <a:latin typeface="Arial"/>
            <a:cs typeface="Arial"/>
          </a:endParaRPr>
        </a:p>
        <a:p>
          <a:pPr algn="l" rtl="0">
            <a:defRPr sz="1000"/>
          </a:pPr>
          <a:r>
            <a:rPr lang="es-PE" sz="1000" b="0" i="0" u="none" strike="noStrike" baseline="0">
              <a:solidFill>
                <a:srgbClr val="000000"/>
              </a:solidFill>
              <a:latin typeface="Arial"/>
              <a:cs typeface="Arial"/>
            </a:rPr>
            <a:t>Cesar Enrique Quispe Ramos </a:t>
          </a:r>
        </a:p>
        <a:p>
          <a:pPr algn="l" rtl="0">
            <a:defRPr sz="1000"/>
          </a:pPr>
          <a:r>
            <a:rPr lang="es-PE" sz="1000" b="0" i="0" u="none" strike="noStrike" baseline="0">
              <a:solidFill>
                <a:srgbClr val="000000"/>
              </a:solidFill>
              <a:latin typeface="Arial"/>
              <a:cs typeface="Arial"/>
            </a:rPr>
            <a:t>DNI Nº 08238398</a:t>
          </a:r>
        </a:p>
        <a:p>
          <a:pPr algn="l" rtl="0">
            <a:defRPr sz="1000"/>
          </a:pPr>
          <a:endParaRPr lang="es-PE" sz="1000" b="0" i="0" u="none" strike="noStrike" baseline="0">
            <a:solidFill>
              <a:srgbClr val="000000"/>
            </a:solidFill>
            <a:latin typeface="Arial"/>
            <a:cs typeface="Arial"/>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133350</xdr:colOff>
      <xdr:row>1</xdr:row>
      <xdr:rowOff>123825</xdr:rowOff>
    </xdr:from>
    <xdr:to>
      <xdr:col>7</xdr:col>
      <xdr:colOff>409575</xdr:colOff>
      <xdr:row>4</xdr:row>
      <xdr:rowOff>9525</xdr:rowOff>
    </xdr:to>
    <xdr:pic>
      <xdr:nvPicPr>
        <xdr:cNvPr id="35994" name="Picture 4" descr="U:\Encabezado Transc_TAKUSHI.JPG"/>
        <xdr:cNvPicPr>
          <a:picLocks noChangeAspect="1" noChangeArrowheads="1"/>
        </xdr:cNvPicPr>
      </xdr:nvPicPr>
      <xdr:blipFill>
        <a:blip xmlns:r="http://schemas.openxmlformats.org/officeDocument/2006/relationships" r:embed="rId1" cstate="print"/>
        <a:srcRect/>
        <a:stretch>
          <a:fillRect/>
        </a:stretch>
      </xdr:blipFill>
      <xdr:spPr bwMode="auto">
        <a:xfrm>
          <a:off x="2400300" y="352425"/>
          <a:ext cx="2676525" cy="590550"/>
        </a:xfrm>
        <a:prstGeom prst="rect">
          <a:avLst/>
        </a:prstGeom>
        <a:noFill/>
        <a:ln w="9525">
          <a:noFill/>
          <a:miter lim="800000"/>
          <a:headEnd/>
          <a:tailEnd/>
        </a:ln>
      </xdr:spPr>
    </xdr:pic>
    <xdr:clientData/>
  </xdr:twoCellAnchor>
  <xdr:twoCellAnchor>
    <xdr:from>
      <xdr:col>7</xdr:col>
      <xdr:colOff>533400</xdr:colOff>
      <xdr:row>2</xdr:row>
      <xdr:rowOff>104775</xdr:rowOff>
    </xdr:from>
    <xdr:to>
      <xdr:col>12</xdr:col>
      <xdr:colOff>1047750</xdr:colOff>
      <xdr:row>3</xdr:row>
      <xdr:rowOff>200025</xdr:rowOff>
    </xdr:to>
    <xdr:sp macro="" textlink="">
      <xdr:nvSpPr>
        <xdr:cNvPr id="35843" name="WordArt 3"/>
        <xdr:cNvSpPr>
          <a:spLocks noChangeArrowheads="1" noChangeShapeType="1" noTextEdit="1"/>
        </xdr:cNvSpPr>
      </xdr:nvSpPr>
      <xdr:spPr bwMode="auto">
        <a:xfrm>
          <a:off x="5200650" y="561975"/>
          <a:ext cx="4743450" cy="333375"/>
        </a:xfrm>
        <a:prstGeom prst="rect">
          <a:avLst/>
        </a:prstGeom>
      </xdr:spPr>
      <xdr:txBody>
        <a:bodyPr wrap="none" fromWordArt="1">
          <a:prstTxWarp prst="textPlain">
            <a:avLst>
              <a:gd name="adj" fmla="val 50000"/>
            </a:avLst>
          </a:prstTxWarp>
        </a:bodyPr>
        <a:lstStyle/>
        <a:p>
          <a:pPr algn="ctr" rtl="0"/>
          <a:r>
            <a:rPr lang="es-PE" sz="3600" kern="10" spc="360">
              <a:ln w="12700">
                <a:solidFill>
                  <a:srgbClr val="000080"/>
                </a:solidFill>
                <a:round/>
                <a:headEnd/>
                <a:tailEnd/>
              </a:ln>
              <a:solidFill>
                <a:srgbClr val="333399"/>
              </a:solidFill>
              <a:effectLst>
                <a:outerShdw dist="45791" dir="2021404" algn="ctr" rotWithShape="0">
                  <a:srgbClr val="9999FF"/>
                </a:outerShdw>
              </a:effectLst>
              <a:latin typeface="Arial Black"/>
            </a:rPr>
            <a:t>Relacion de Equipos RPM</a:t>
          </a: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s://www.bibliacatolica.com.br/biblia-latinoamericana/carta-a-los-romanos/?utm_source=share&amp;utm_medium=cp" TargetMode="External"/><Relationship Id="rId1" Type="http://schemas.openxmlformats.org/officeDocument/2006/relationships/hyperlink" Target="https://www.bibliacatolica.com.br/biblia-latinoamericana/carta-a-los-romanos/?utm_source=bibliacatolica&amp;utm_medium=share_text&amp;utm_campaign=copy_and_paste"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mailto:vianexd@live.com" TargetMode="External"/><Relationship Id="rId13" Type="http://schemas.openxmlformats.org/officeDocument/2006/relationships/hyperlink" Target="mailto:lucero_20062@hotmail.com" TargetMode="External"/><Relationship Id="rId18" Type="http://schemas.openxmlformats.org/officeDocument/2006/relationships/hyperlink" Target="mailto:lucero_23le&#243;n@hotmail.com" TargetMode="External"/><Relationship Id="rId26" Type="http://schemas.openxmlformats.org/officeDocument/2006/relationships/comments" Target="../comments3.xml"/><Relationship Id="rId3" Type="http://schemas.openxmlformats.org/officeDocument/2006/relationships/hyperlink" Target="http://scop.osinerg.gob.pe/seguridad/seguridad/index.jsp" TargetMode="External"/><Relationship Id="rId21" Type="http://schemas.openxmlformats.org/officeDocument/2006/relationships/hyperlink" Target="https://telecreditonp.bcp.com.pe/tlcnp/" TargetMode="External"/><Relationship Id="rId7" Type="http://schemas.openxmlformats.org/officeDocument/2006/relationships/hyperlink" Target="http://ww4.essalud.gob.pe:7777/acredita" TargetMode="External"/><Relationship Id="rId12" Type="http://schemas.openxmlformats.org/officeDocument/2006/relationships/hyperlink" Target="mailto:saori_dis_15@hotmail.com" TargetMode="External"/><Relationship Id="rId17" Type="http://schemas.openxmlformats.org/officeDocument/2006/relationships/hyperlink" Target="mailto:pilar_love31@hotmail.com" TargetMode="External"/><Relationship Id="rId25" Type="http://schemas.openxmlformats.org/officeDocument/2006/relationships/vmlDrawing" Target="../drawings/vmlDrawing3.vml"/><Relationship Id="rId2" Type="http://schemas.openxmlformats.org/officeDocument/2006/relationships/hyperlink" Target="http://precanoas.produce.gob.pe/portal/page/portal/PeruSite" TargetMode="External"/><Relationship Id="rId16" Type="http://schemas.openxmlformats.org/officeDocument/2006/relationships/hyperlink" Target="mailto:viento_1484@hotmail.com" TargetMode="External"/><Relationship Id="rId20" Type="http://schemas.openxmlformats.org/officeDocument/2006/relationships/hyperlink" Target="https://enlinea.sunarp.gob.pe/interconexion/webapp/extranet/Ingreso.do" TargetMode="External"/><Relationship Id="rId1" Type="http://schemas.openxmlformats.org/officeDocument/2006/relationships/hyperlink" Target="http://www.tributacionperu.com/" TargetMode="External"/><Relationship Id="rId6" Type="http://schemas.openxmlformats.org/officeDocument/2006/relationships/hyperlink" Target="file:///C:\Documents%20and%20Settings\CesarQ.TRANSCOSTA-NT\CesarQ.TRANSCOSTA-NT\Datos%20de%20programa\Microsoft\Excel\Lubricantes%20y%20Combustible.xls" TargetMode="External"/><Relationship Id="rId11" Type="http://schemas.openxmlformats.org/officeDocument/2006/relationships/hyperlink" Target="mailto:love_ar_23@hotmail.com" TargetMode="External"/><Relationship Id="rId24" Type="http://schemas.openxmlformats.org/officeDocument/2006/relationships/drawing" Target="../drawings/drawing6.xml"/><Relationship Id="rId5" Type="http://schemas.openxmlformats.org/officeDocument/2006/relationships/hyperlink" Target="https://www.punto.pe/login.php" TargetMode="External"/><Relationship Id="rId15" Type="http://schemas.openxmlformats.org/officeDocument/2006/relationships/hyperlink" Target="mailto:leydy_j1@hotmail.com" TargetMode="External"/><Relationship Id="rId23" Type="http://schemas.openxmlformats.org/officeDocument/2006/relationships/printerSettings" Target="../printerSettings/printerSettings11.bin"/><Relationship Id="rId10" Type="http://schemas.openxmlformats.org/officeDocument/2006/relationships/hyperlink" Target="mailto:ruth_pasion12@hotmail.com" TargetMode="External"/><Relationship Id="rId19" Type="http://schemas.openxmlformats.org/officeDocument/2006/relationships/hyperlink" Target="mailto:amcllantas_arismendis@hotmail.com" TargetMode="External"/><Relationship Id="rId4" Type="http://schemas.openxmlformats.org/officeDocument/2006/relationships/hyperlink" Target="https://www.punto.pe/login.php" TargetMode="External"/><Relationship Id="rId9" Type="http://schemas.openxmlformats.org/officeDocument/2006/relationships/hyperlink" Target="mailto:estrella_12_996@hotmail.com" TargetMode="External"/><Relationship Id="rId14" Type="http://schemas.openxmlformats.org/officeDocument/2006/relationships/hyperlink" Target="mailto:viry_libra17@hotmail.com" TargetMode="External"/><Relationship Id="rId22" Type="http://schemas.openxmlformats.org/officeDocument/2006/relationships/hyperlink" Target="http://sistemas.sutran.gob.pe/infracciones/Login.aspx" TargetMode="Externa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12.bin"/><Relationship Id="rId4" Type="http://schemas.openxmlformats.org/officeDocument/2006/relationships/comments" Target="../comments4.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mailto:arturito19971308@hotmail.com" TargetMode="External"/><Relationship Id="rId2" Type="http://schemas.openxmlformats.org/officeDocument/2006/relationships/hyperlink" Target="mailto:josema08051992@gmail.com" TargetMode="External"/><Relationship Id="rId1" Type="http://schemas.openxmlformats.org/officeDocument/2006/relationships/hyperlink" Target="mailto:joseluisochoa1986@gmail.com"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9.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3.xml"/><Relationship Id="rId1" Type="http://schemas.openxmlformats.org/officeDocument/2006/relationships/printerSettings" Target="../printerSettings/printerSettings25.bin"/><Relationship Id="rId5" Type="http://schemas.openxmlformats.org/officeDocument/2006/relationships/oleObject" Target="../embeddings/oleObject2.bin"/><Relationship Id="rId4" Type="http://schemas.openxmlformats.org/officeDocument/2006/relationships/oleObject" Target="../embeddings/oleObject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30.bin"/><Relationship Id="rId1" Type="http://schemas.openxmlformats.org/officeDocument/2006/relationships/hyperlink" Target="https://servicioalcliente.integra.com.pe/WebSiteCliente/Afiliados.do?metodo=iniciarContactenosLogeado&amp;tipoUsuario=A" TargetMode="External"/><Relationship Id="rId6" Type="http://schemas.openxmlformats.org/officeDocument/2006/relationships/control" Target="../activeX/activeX2.xml"/><Relationship Id="rId5" Type="http://schemas.openxmlformats.org/officeDocument/2006/relationships/control" Target="../activeX/activeX1.xml"/><Relationship Id="rId4" Type="http://schemas.openxmlformats.org/officeDocument/2006/relationships/vmlDrawing" Target="../drawings/vmlDrawing11.v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hyperlink" Target="https://telecreditonp.bcp.com.pe/tlcnp/" TargetMode="External"/><Relationship Id="rId13" Type="http://schemas.openxmlformats.org/officeDocument/2006/relationships/hyperlink" Target="http://www.placas.pe/" TargetMode="External"/><Relationship Id="rId18" Type="http://schemas.openxmlformats.org/officeDocument/2006/relationships/hyperlink" Target="mailto:edwrdmarmoles@gmail.com" TargetMode="External"/><Relationship Id="rId26" Type="http://schemas.openxmlformats.org/officeDocument/2006/relationships/hyperlink" Target="mailto:yonatandiazbilbao@hotmail.com" TargetMode="External"/><Relationship Id="rId39" Type="http://schemas.openxmlformats.org/officeDocument/2006/relationships/vmlDrawing" Target="../drawings/vmlDrawing2.vml"/><Relationship Id="rId3" Type="http://schemas.openxmlformats.org/officeDocument/2006/relationships/hyperlink" Target="https://www.punto.pe/login.php" TargetMode="External"/><Relationship Id="rId21" Type="http://schemas.openxmlformats.org/officeDocument/2006/relationships/hyperlink" Target="mailto:gparedes@hotmail.com" TargetMode="External"/><Relationship Id="rId34" Type="http://schemas.openxmlformats.org/officeDocument/2006/relationships/hyperlink" Target="mailto:yonatandiazbilbao@hotmail.com" TargetMode="External"/><Relationship Id="rId7" Type="http://schemas.openxmlformats.org/officeDocument/2006/relationships/hyperlink" Target="https://enlinea.sunarp.gob.pe/interconexion/webapp/extranet/Ingreso.do" TargetMode="External"/><Relationship Id="rId12" Type="http://schemas.openxmlformats.org/officeDocument/2006/relationships/hyperlink" Target="mailto:JorgeM@transcosta.com.pe%20-%20jm06581811" TargetMode="External"/><Relationship Id="rId17" Type="http://schemas.openxmlformats.org/officeDocument/2006/relationships/hyperlink" Target="mailto:vrgashuamanwalter@hotmail.com" TargetMode="External"/><Relationship Id="rId25" Type="http://schemas.openxmlformats.org/officeDocument/2006/relationships/hyperlink" Target="mailto:CesarQ@hotmail.com" TargetMode="External"/><Relationship Id="rId33" Type="http://schemas.openxmlformats.org/officeDocument/2006/relationships/hyperlink" Target="mailto:yonatandiazbilbao@hotmail.com" TargetMode="External"/><Relationship Id="rId38" Type="http://schemas.openxmlformats.org/officeDocument/2006/relationships/drawing" Target="../drawings/drawing4.xml"/><Relationship Id="rId2" Type="http://schemas.openxmlformats.org/officeDocument/2006/relationships/hyperlink" Target="http://scop.osinerg.gob.pe/seguridad/seguridad/index.jsp" TargetMode="External"/><Relationship Id="rId16" Type="http://schemas.openxmlformats.org/officeDocument/2006/relationships/hyperlink" Target="mailto:condormezajuan@hotmail.com" TargetMode="External"/><Relationship Id="rId20" Type="http://schemas.openxmlformats.org/officeDocument/2006/relationships/hyperlink" Target="mailto:emmanuelyapias@gmail.com" TargetMode="External"/><Relationship Id="rId29" Type="http://schemas.openxmlformats.org/officeDocument/2006/relationships/hyperlink" Target="mailto:yonatandiazbilbao@hotmail.com" TargetMode="External"/><Relationship Id="rId1" Type="http://schemas.openxmlformats.org/officeDocument/2006/relationships/hyperlink" Target="http://precanoas.produce.gob.pe/portal/page/portal/PeruSite" TargetMode="External"/><Relationship Id="rId6" Type="http://schemas.openxmlformats.org/officeDocument/2006/relationships/hyperlink" Target="http://ww4.essalud.gob.pe:7777/acredita" TargetMode="External"/><Relationship Id="rId11" Type="http://schemas.openxmlformats.org/officeDocument/2006/relationships/hyperlink" Target="http://www.primax.com.pe/" TargetMode="External"/><Relationship Id="rId24" Type="http://schemas.openxmlformats.org/officeDocument/2006/relationships/hyperlink" Target="mailto:yonatandiazbilbao@hotmail.com" TargetMode="External"/><Relationship Id="rId32" Type="http://schemas.openxmlformats.org/officeDocument/2006/relationships/hyperlink" Target="mailto:yonatandiazbilbao@hotmail.com" TargetMode="External"/><Relationship Id="rId37" Type="http://schemas.openxmlformats.org/officeDocument/2006/relationships/printerSettings" Target="../printerSettings/printerSettings7.bin"/><Relationship Id="rId40" Type="http://schemas.openxmlformats.org/officeDocument/2006/relationships/comments" Target="../comments2.xml"/><Relationship Id="rId5" Type="http://schemas.openxmlformats.org/officeDocument/2006/relationships/hyperlink" Target="file:///C:\Documents%20and%20Settings\CesarQ.TRANSCOSTA-NT\CesarQ.TRANSCOSTA-NT\Datos%20de%20programa\Microsoft\Excel\Lubricantes%20y%20Combustible.xls" TargetMode="External"/><Relationship Id="rId15" Type="http://schemas.openxmlformats.org/officeDocument/2006/relationships/hyperlink" Target="mailto:Cesitar_x100pre_tu_amor@hotmail.com" TargetMode="External"/><Relationship Id="rId23" Type="http://schemas.openxmlformats.org/officeDocument/2006/relationships/hyperlink" Target="mailto:yonatandiazbilbao@hotmail.com" TargetMode="External"/><Relationship Id="rId28" Type="http://schemas.openxmlformats.org/officeDocument/2006/relationships/hyperlink" Target="mailto:yonatandiazbilbao@hotmail.com" TargetMode="External"/><Relationship Id="rId36" Type="http://schemas.openxmlformats.org/officeDocument/2006/relationships/hyperlink" Target="mailto:JuanM@transcosta.com.pe" TargetMode="External"/><Relationship Id="rId10" Type="http://schemas.openxmlformats.org/officeDocument/2006/relationships/hyperlink" Target="mailto:lurbina@grupopana.com.pe" TargetMode="External"/><Relationship Id="rId19" Type="http://schemas.openxmlformats.org/officeDocument/2006/relationships/hyperlink" Target="mailto:juancarlosdiaz@hotmail.com" TargetMode="External"/><Relationship Id="rId31" Type="http://schemas.openxmlformats.org/officeDocument/2006/relationships/hyperlink" Target="mailto:yonatandiazbilbao@hotmail.com" TargetMode="External"/><Relationship Id="rId4" Type="http://schemas.openxmlformats.org/officeDocument/2006/relationships/hyperlink" Target="https://www.punto.pe/login.php" TargetMode="External"/><Relationship Id="rId9" Type="http://schemas.openxmlformats.org/officeDocument/2006/relationships/hyperlink" Target="http://sistemas.sutran.gob.pe/infracciones/Login.aspx" TargetMode="External"/><Relationship Id="rId14" Type="http://schemas.openxmlformats.org/officeDocument/2006/relationships/hyperlink" Target="mailto:juliooliveraapaza@gmail.com" TargetMode="External"/><Relationship Id="rId22" Type="http://schemas.openxmlformats.org/officeDocument/2006/relationships/hyperlink" Target="mailto:yonatandiazbilbao@hotmail.com" TargetMode="External"/><Relationship Id="rId27" Type="http://schemas.openxmlformats.org/officeDocument/2006/relationships/hyperlink" Target="mailto:yonatandiazbilbao@hotmail.com" TargetMode="External"/><Relationship Id="rId30" Type="http://schemas.openxmlformats.org/officeDocument/2006/relationships/hyperlink" Target="mailto:yonatandiazbilbao@hotmail.com" TargetMode="External"/><Relationship Id="rId35" Type="http://schemas.openxmlformats.org/officeDocument/2006/relationships/hyperlink" Target="http://www.transcosta.com.pe/webmail"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Hoja3"/>
  <dimension ref="B1:K79"/>
  <sheetViews>
    <sheetView workbookViewId="0">
      <selection activeCell="G25" sqref="G25"/>
    </sheetView>
  </sheetViews>
  <sheetFormatPr baseColWidth="10" defaultRowHeight="12.75"/>
  <cols>
    <col min="1" max="1" width="2.5703125" customWidth="1"/>
    <col min="2" max="2" width="12.42578125" customWidth="1"/>
    <col min="3" max="3" width="27.85546875" bestFit="1" customWidth="1"/>
    <col min="8" max="8" width="19.28515625" bestFit="1" customWidth="1"/>
    <col min="9" max="9" width="32.7109375" bestFit="1" customWidth="1"/>
  </cols>
  <sheetData>
    <row r="1" spans="2:11" ht="13.5" thickBot="1"/>
    <row r="2" spans="2:11" ht="18.75" thickBot="1">
      <c r="B2" s="1178" t="s">
        <v>3101</v>
      </c>
      <c r="H2" s="1236" t="s">
        <v>2572</v>
      </c>
      <c r="I2" s="1237" t="s">
        <v>2573</v>
      </c>
    </row>
    <row r="3" spans="2:11" ht="18">
      <c r="B3" s="3759" t="s">
        <v>2588</v>
      </c>
      <c r="C3" s="3759"/>
      <c r="H3" s="1238" t="s">
        <v>2574</v>
      </c>
      <c r="I3" s="1238" t="s">
        <v>3948</v>
      </c>
    </row>
    <row r="4" spans="2:11" ht="18">
      <c r="B4" s="1107" t="s">
        <v>762</v>
      </c>
      <c r="C4" s="1184"/>
      <c r="H4" s="432" t="s">
        <v>4441</v>
      </c>
      <c r="I4" s="432" t="s">
        <v>4442</v>
      </c>
    </row>
    <row r="5" spans="2:11" ht="18">
      <c r="B5" s="1107" t="s">
        <v>2589</v>
      </c>
      <c r="C5" s="1108"/>
      <c r="H5" s="432" t="s">
        <v>4443</v>
      </c>
      <c r="I5" s="432" t="s">
        <v>4444</v>
      </c>
    </row>
    <row r="6" spans="2:11" ht="15">
      <c r="B6" s="1107" t="s">
        <v>2590</v>
      </c>
      <c r="C6" s="1109"/>
      <c r="H6" s="432" t="s">
        <v>4445</v>
      </c>
      <c r="I6" s="432" t="s">
        <v>2116</v>
      </c>
    </row>
    <row r="7" spans="2:11" ht="15">
      <c r="B7" s="1107" t="s">
        <v>28</v>
      </c>
      <c r="C7" s="1109"/>
      <c r="H7" s="432" t="s">
        <v>2117</v>
      </c>
      <c r="I7" s="432" t="s">
        <v>3136</v>
      </c>
    </row>
    <row r="8" spans="2:11" ht="18">
      <c r="B8" s="1107" t="s">
        <v>1164</v>
      </c>
      <c r="C8" s="1110"/>
      <c r="H8" s="3758" t="s">
        <v>480</v>
      </c>
      <c r="I8" s="432" t="s">
        <v>1341</v>
      </c>
    </row>
    <row r="9" spans="2:11" ht="18">
      <c r="B9" s="1178"/>
      <c r="H9" s="3758"/>
      <c r="I9" s="432" t="s">
        <v>1342</v>
      </c>
    </row>
    <row r="10" spans="2:11" ht="18">
      <c r="B10" s="3759" t="s">
        <v>701</v>
      </c>
      <c r="C10" s="3759"/>
      <c r="H10" s="432"/>
      <c r="I10" s="432"/>
    </row>
    <row r="11" spans="2:11" ht="18">
      <c r="B11" s="1107" t="s">
        <v>762</v>
      </c>
      <c r="C11" s="1184">
        <v>40549</v>
      </c>
      <c r="H11" s="432" t="s">
        <v>357</v>
      </c>
      <c r="I11" s="432" t="s">
        <v>733</v>
      </c>
    </row>
    <row r="12" spans="2:11" ht="18">
      <c r="B12" s="1107" t="s">
        <v>2589</v>
      </c>
      <c r="C12" s="1108">
        <v>0.33333333333333331</v>
      </c>
      <c r="D12" t="s">
        <v>3389</v>
      </c>
      <c r="H12" s="432" t="s">
        <v>734</v>
      </c>
      <c r="I12" s="432" t="s">
        <v>4367</v>
      </c>
    </row>
    <row r="13" spans="2:11" ht="24.95" customHeight="1">
      <c r="B13" s="1107" t="s">
        <v>2590</v>
      </c>
      <c r="C13" s="1109" t="s">
        <v>1877</v>
      </c>
    </row>
    <row r="14" spans="2:11" ht="24.95" customHeight="1">
      <c r="B14" s="1107" t="s">
        <v>28</v>
      </c>
      <c r="C14" s="120" t="s">
        <v>2452</v>
      </c>
      <c r="K14">
        <v>199</v>
      </c>
    </row>
    <row r="15" spans="2:11" ht="24.95" customHeight="1">
      <c r="B15" s="1107" t="s">
        <v>1164</v>
      </c>
      <c r="C15" s="1110" t="s">
        <v>2451</v>
      </c>
      <c r="K15">
        <f>+K14/6</f>
        <v>33.166666666666664</v>
      </c>
    </row>
    <row r="16" spans="2:11" ht="24.95" customHeight="1">
      <c r="B16" s="1107" t="s">
        <v>3130</v>
      </c>
      <c r="C16" s="1233" t="s">
        <v>3702</v>
      </c>
    </row>
    <row r="17" spans="2:8" ht="24.95" customHeight="1">
      <c r="B17" s="1178"/>
    </row>
    <row r="18" spans="2:8" ht="24.95" customHeight="1">
      <c r="B18" s="3759" t="s">
        <v>701</v>
      </c>
      <c r="C18" s="3759"/>
    </row>
    <row r="19" spans="2:8" ht="18">
      <c r="B19" s="1107" t="s">
        <v>762</v>
      </c>
      <c r="C19" s="1184">
        <v>40511</v>
      </c>
    </row>
    <row r="20" spans="2:8" ht="18">
      <c r="B20" s="1107" t="s">
        <v>2589</v>
      </c>
      <c r="C20" s="1108">
        <v>0.33333333333333331</v>
      </c>
    </row>
    <row r="21" spans="2:8" ht="15">
      <c r="B21" s="1107" t="s">
        <v>2590</v>
      </c>
      <c r="C21" s="1109" t="s">
        <v>1877</v>
      </c>
    </row>
    <row r="22" spans="2:8" ht="15">
      <c r="B22" s="1107" t="s">
        <v>28</v>
      </c>
      <c r="C22" s="120" t="s">
        <v>4142</v>
      </c>
      <c r="H22" t="s">
        <v>5571</v>
      </c>
    </row>
    <row r="23" spans="2:8" ht="18">
      <c r="B23" s="1107" t="s">
        <v>1164</v>
      </c>
      <c r="C23" s="1110" t="s">
        <v>4676</v>
      </c>
      <c r="G23" t="s">
        <v>5572</v>
      </c>
      <c r="H23" t="s">
        <v>5570</v>
      </c>
    </row>
    <row r="24" spans="2:8" ht="16.5">
      <c r="B24" s="1107" t="s">
        <v>3130</v>
      </c>
      <c r="C24" s="1233" t="s">
        <v>3702</v>
      </c>
      <c r="G24" t="s">
        <v>5573</v>
      </c>
      <c r="H24" t="s">
        <v>5569</v>
      </c>
    </row>
    <row r="25" spans="2:8" ht="18">
      <c r="B25" s="1178"/>
    </row>
    <row r="26" spans="2:8" ht="18">
      <c r="B26" s="3759" t="s">
        <v>701</v>
      </c>
      <c r="C26" s="3759"/>
    </row>
    <row r="27" spans="2:8" ht="18">
      <c r="B27" s="1107" t="s">
        <v>762</v>
      </c>
      <c r="C27" s="1184">
        <v>40448</v>
      </c>
    </row>
    <row r="28" spans="2:8" ht="18">
      <c r="B28" s="1107" t="s">
        <v>2589</v>
      </c>
      <c r="C28" s="1108">
        <v>0.65277777777777779</v>
      </c>
    </row>
    <row r="29" spans="2:8" ht="15">
      <c r="B29" s="1107" t="s">
        <v>2590</v>
      </c>
      <c r="C29" s="1109" t="s">
        <v>1877</v>
      </c>
    </row>
    <row r="30" spans="2:8" ht="15">
      <c r="B30" s="1107" t="s">
        <v>28</v>
      </c>
      <c r="C30" s="120" t="s">
        <v>4142</v>
      </c>
    </row>
    <row r="31" spans="2:8" ht="18">
      <c r="B31" s="1107" t="s">
        <v>1164</v>
      </c>
      <c r="C31" s="1110" t="s">
        <v>3758</v>
      </c>
    </row>
    <row r="32" spans="2:8" ht="16.5">
      <c r="B32" s="1107" t="s">
        <v>3130</v>
      </c>
      <c r="C32" s="1233" t="s">
        <v>3702</v>
      </c>
    </row>
    <row r="33" spans="2:3" ht="18">
      <c r="B33" s="1178"/>
    </row>
    <row r="34" spans="2:3" ht="18">
      <c r="B34" s="3759" t="s">
        <v>701</v>
      </c>
      <c r="C34" s="3759"/>
    </row>
    <row r="35" spans="2:3" ht="18">
      <c r="B35" s="1107" t="s">
        <v>762</v>
      </c>
      <c r="C35" s="1184">
        <v>40354</v>
      </c>
    </row>
    <row r="36" spans="2:3" ht="18">
      <c r="B36" s="1107" t="s">
        <v>2589</v>
      </c>
      <c r="C36" s="1108">
        <v>0.33333333333333331</v>
      </c>
    </row>
    <row r="37" spans="2:3" ht="15">
      <c r="B37" s="1107" t="s">
        <v>2590</v>
      </c>
      <c r="C37" s="1109" t="s">
        <v>1877</v>
      </c>
    </row>
    <row r="38" spans="2:3" ht="15">
      <c r="B38" s="1107" t="s">
        <v>28</v>
      </c>
      <c r="C38" s="120" t="s">
        <v>4142</v>
      </c>
    </row>
    <row r="39" spans="2:3" ht="18">
      <c r="B39" s="1107" t="s">
        <v>1164</v>
      </c>
      <c r="C39" s="1110" t="s">
        <v>1107</v>
      </c>
    </row>
    <row r="40" spans="2:3" ht="16.5">
      <c r="B40" s="1107" t="s">
        <v>3130</v>
      </c>
      <c r="C40" s="1233" t="s">
        <v>3702</v>
      </c>
    </row>
    <row r="42" spans="2:3" ht="18">
      <c r="B42" s="3759" t="s">
        <v>701</v>
      </c>
      <c r="C42" s="3759"/>
    </row>
    <row r="43" spans="2:3" ht="18">
      <c r="B43" s="1107" t="s">
        <v>762</v>
      </c>
      <c r="C43" s="1184">
        <v>40250</v>
      </c>
    </row>
    <row r="44" spans="2:3" ht="18">
      <c r="B44" s="1107" t="s">
        <v>2589</v>
      </c>
      <c r="C44" s="1108">
        <v>0.33333333333333331</v>
      </c>
    </row>
    <row r="45" spans="2:3" ht="15">
      <c r="B45" s="1107" t="s">
        <v>2590</v>
      </c>
      <c r="C45" s="1109" t="s">
        <v>1877</v>
      </c>
    </row>
    <row r="46" spans="2:3" ht="15">
      <c r="B46" s="1107" t="s">
        <v>28</v>
      </c>
      <c r="C46" s="120" t="s">
        <v>4142</v>
      </c>
    </row>
    <row r="47" spans="2:3" ht="18">
      <c r="B47" s="1107" t="s">
        <v>1164</v>
      </c>
      <c r="C47" s="1110" t="s">
        <v>2864</v>
      </c>
    </row>
    <row r="48" spans="2:3" ht="16.5">
      <c r="B48" s="1107" t="s">
        <v>3130</v>
      </c>
      <c r="C48" s="1233" t="s">
        <v>3702</v>
      </c>
    </row>
    <row r="51" spans="2:3" ht="18">
      <c r="B51" s="3759" t="s">
        <v>2457</v>
      </c>
      <c r="C51" s="3759"/>
    </row>
    <row r="52" spans="2:3" ht="18">
      <c r="B52" s="1107" t="s">
        <v>762</v>
      </c>
      <c r="C52" s="1184">
        <v>40196</v>
      </c>
    </row>
    <row r="53" spans="2:3" ht="18">
      <c r="B53" s="1107" t="s">
        <v>2589</v>
      </c>
      <c r="C53" s="1108">
        <v>0.35416666666666669</v>
      </c>
    </row>
    <row r="54" spans="2:3" ht="15">
      <c r="B54" s="1107" t="s">
        <v>2590</v>
      </c>
      <c r="C54" s="1109" t="s">
        <v>4401</v>
      </c>
    </row>
    <row r="55" spans="2:3" ht="15">
      <c r="B55" s="1107" t="s">
        <v>28</v>
      </c>
      <c r="C55" s="1109" t="s">
        <v>1274</v>
      </c>
    </row>
    <row r="56" spans="2:3" ht="18">
      <c r="B56" s="1107" t="s">
        <v>1164</v>
      </c>
      <c r="C56" s="1110" t="s">
        <v>4402</v>
      </c>
    </row>
    <row r="59" spans="2:3" ht="18">
      <c r="B59" s="3759" t="s">
        <v>2588</v>
      </c>
      <c r="C59" s="3759"/>
    </row>
    <row r="60" spans="2:3" ht="18">
      <c r="B60" s="1107" t="s">
        <v>762</v>
      </c>
      <c r="C60" s="1184">
        <v>40175</v>
      </c>
    </row>
    <row r="61" spans="2:3" ht="18">
      <c r="B61" s="1107" t="s">
        <v>2589</v>
      </c>
      <c r="C61" s="1108">
        <v>0.33333333333333331</v>
      </c>
    </row>
    <row r="62" spans="2:3" ht="15">
      <c r="B62" s="1107" t="s">
        <v>2590</v>
      </c>
      <c r="C62" s="1109" t="s">
        <v>1877</v>
      </c>
    </row>
    <row r="63" spans="2:3" ht="15">
      <c r="B63" s="1107" t="s">
        <v>28</v>
      </c>
      <c r="C63" s="1109" t="s">
        <v>4142</v>
      </c>
    </row>
    <row r="64" spans="2:3" ht="18">
      <c r="B64" s="1107" t="s">
        <v>1164</v>
      </c>
      <c r="C64" s="1110">
        <v>6928395</v>
      </c>
    </row>
    <row r="67" spans="2:3" ht="18">
      <c r="B67" s="3759" t="s">
        <v>2588</v>
      </c>
      <c r="C67" s="3759"/>
    </row>
    <row r="68" spans="2:3" ht="18">
      <c r="B68" s="1107" t="s">
        <v>762</v>
      </c>
      <c r="C68" s="1184">
        <v>40159</v>
      </c>
    </row>
    <row r="69" spans="2:3" ht="18">
      <c r="B69" s="1107" t="s">
        <v>2589</v>
      </c>
      <c r="C69" s="1108">
        <v>0.33333333333333331</v>
      </c>
    </row>
    <row r="70" spans="2:3" ht="15">
      <c r="B70" s="1107" t="s">
        <v>2590</v>
      </c>
      <c r="C70" s="1109" t="s">
        <v>1877</v>
      </c>
    </row>
    <row r="71" spans="2:3" ht="15">
      <c r="B71" s="1107" t="s">
        <v>28</v>
      </c>
      <c r="C71" s="1109" t="s">
        <v>4400</v>
      </c>
    </row>
    <row r="72" spans="2:3" ht="18">
      <c r="B72" s="1107" t="s">
        <v>1164</v>
      </c>
      <c r="C72" s="1110" t="s">
        <v>4763</v>
      </c>
    </row>
    <row r="74" spans="2:3" ht="18">
      <c r="B74" s="3759" t="s">
        <v>2588</v>
      </c>
      <c r="C74" s="3759"/>
    </row>
    <row r="75" spans="2:3" ht="18">
      <c r="B75" s="1107" t="s">
        <v>762</v>
      </c>
      <c r="C75" s="1184"/>
    </row>
    <row r="76" spans="2:3" ht="18">
      <c r="B76" s="1107" t="s">
        <v>2589</v>
      </c>
      <c r="C76" s="1108"/>
    </row>
    <row r="77" spans="2:3" ht="15">
      <c r="B77" s="1107" t="s">
        <v>2590</v>
      </c>
      <c r="C77" s="1109"/>
    </row>
    <row r="78" spans="2:3" ht="15">
      <c r="B78" s="1107" t="s">
        <v>28</v>
      </c>
      <c r="C78" s="1109"/>
    </row>
    <row r="79" spans="2:3" ht="18">
      <c r="B79" s="1107" t="s">
        <v>1164</v>
      </c>
      <c r="C79" s="1110"/>
    </row>
  </sheetData>
  <mergeCells count="11">
    <mergeCell ref="B74:C74"/>
    <mergeCell ref="B3:C3"/>
    <mergeCell ref="B67:C67"/>
    <mergeCell ref="B42:C42"/>
    <mergeCell ref="B10:C10"/>
    <mergeCell ref="H8:H9"/>
    <mergeCell ref="B51:C51"/>
    <mergeCell ref="B59:C59"/>
    <mergeCell ref="B18:C18"/>
    <mergeCell ref="B26:C26"/>
    <mergeCell ref="B34:C34"/>
  </mergeCells>
  <phoneticPr fontId="0" type="noConversion"/>
  <pageMargins left="0.35" right="0.75" top="1" bottom="1" header="0" footer="0"/>
  <pageSetup scale="150" orientation="portrait" horizontalDpi="120" verticalDpi="144" r:id="rId1"/>
  <headerFooter alignWithMargins="0"/>
  <drawing r:id="rId2"/>
</worksheet>
</file>

<file path=xl/worksheets/sheet10.xml><?xml version="1.0" encoding="utf-8"?>
<worksheet xmlns="http://schemas.openxmlformats.org/spreadsheetml/2006/main" xmlns:r="http://schemas.openxmlformats.org/officeDocument/2006/relationships">
  <sheetPr codeName="Hoja7">
    <pageSetUpPr fitToPage="1"/>
  </sheetPr>
  <dimension ref="A5:Y1976"/>
  <sheetViews>
    <sheetView showGridLines="0" topLeftCell="A1945" workbookViewId="0">
      <selection activeCell="L1967" sqref="L1967"/>
    </sheetView>
  </sheetViews>
  <sheetFormatPr baseColWidth="10" defaultRowHeight="12.75" outlineLevelRow="2"/>
  <cols>
    <col min="1" max="1" width="5.7109375" customWidth="1"/>
    <col min="2" max="2" width="0" hidden="1" customWidth="1"/>
    <col min="3" max="3" width="20.7109375" hidden="1" customWidth="1"/>
    <col min="4" max="4" width="20.7109375" style="8" hidden="1" customWidth="1"/>
    <col min="5" max="5" width="13.28515625" hidden="1" customWidth="1"/>
    <col min="6" max="6" width="10.42578125" style="71" hidden="1" customWidth="1"/>
    <col min="7" max="7" width="25.28515625" hidden="1" customWidth="1"/>
    <col min="8" max="8" width="17.7109375" customWidth="1"/>
    <col min="9" max="9" width="12.28515625" customWidth="1"/>
    <col min="10" max="10" width="38.42578125" customWidth="1"/>
    <col min="11" max="11" width="8.7109375" customWidth="1"/>
    <col min="12" max="12" width="10.7109375" bestFit="1" customWidth="1"/>
    <col min="13" max="13" width="13.7109375" customWidth="1"/>
    <col min="14" max="14" width="17.140625" customWidth="1"/>
    <col min="15" max="15" width="8.7109375" customWidth="1"/>
    <col min="16" max="16" width="11.42578125" customWidth="1"/>
    <col min="17" max="17" width="11.7109375" customWidth="1"/>
    <col min="18" max="18" width="12.5703125" bestFit="1" customWidth="1"/>
    <col min="19" max="19" width="6.7109375" customWidth="1"/>
    <col min="20" max="20" width="13.28515625" bestFit="1" customWidth="1"/>
    <col min="21" max="21" width="11.5703125" bestFit="1" customWidth="1"/>
    <col min="22" max="22" width="17.140625" bestFit="1" customWidth="1"/>
    <col min="23" max="23" width="20.7109375" customWidth="1"/>
    <col min="24" max="24" width="14.7109375" customWidth="1"/>
    <col min="25" max="25" width="16.28515625" bestFit="1" customWidth="1"/>
    <col min="27" max="27" width="18.7109375" bestFit="1" customWidth="1"/>
  </cols>
  <sheetData>
    <row r="5" spans="8:10">
      <c r="H5" s="2196" t="s">
        <v>2232</v>
      </c>
      <c r="J5" s="2196" t="s">
        <v>3735</v>
      </c>
    </row>
    <row r="6" spans="8:10">
      <c r="H6" s="2195" t="s">
        <v>2233</v>
      </c>
      <c r="J6" s="54" t="s">
        <v>683</v>
      </c>
    </row>
    <row r="7" spans="8:10">
      <c r="H7" s="2195" t="s">
        <v>2234</v>
      </c>
    </row>
    <row r="8" spans="8:10">
      <c r="H8" s="2195" t="s">
        <v>3214</v>
      </c>
      <c r="J8" s="2196" t="s">
        <v>684</v>
      </c>
    </row>
    <row r="9" spans="8:10">
      <c r="H9" s="2195" t="s">
        <v>3215</v>
      </c>
      <c r="J9" s="2195" t="s">
        <v>685</v>
      </c>
    </row>
    <row r="10" spans="8:10">
      <c r="H10" s="2195" t="s">
        <v>3216</v>
      </c>
      <c r="J10" s="54" t="s">
        <v>686</v>
      </c>
    </row>
    <row r="11" spans="8:10">
      <c r="H11" s="54" t="s">
        <v>3217</v>
      </c>
    </row>
    <row r="12" spans="8:10">
      <c r="J12" s="2196" t="s">
        <v>687</v>
      </c>
    </row>
    <row r="13" spans="8:10">
      <c r="H13" s="2196" t="s">
        <v>494</v>
      </c>
      <c r="J13" s="54" t="s">
        <v>3939</v>
      </c>
    </row>
    <row r="14" spans="8:10">
      <c r="H14" s="2195" t="s">
        <v>2301</v>
      </c>
    </row>
    <row r="15" spans="8:10">
      <c r="H15" s="2195" t="s">
        <v>3986</v>
      </c>
      <c r="J15" s="2196" t="s">
        <v>138</v>
      </c>
    </row>
    <row r="16" spans="8:10">
      <c r="H16" s="2195" t="s">
        <v>3157</v>
      </c>
      <c r="J16" s="54" t="s">
        <v>3893</v>
      </c>
    </row>
    <row r="17" spans="2:8">
      <c r="H17" s="54" t="s">
        <v>493</v>
      </c>
    </row>
    <row r="27" spans="2:8" ht="15">
      <c r="B27" s="1674" t="s">
        <v>1018</v>
      </c>
    </row>
    <row r="28" spans="2:8" ht="14.25">
      <c r="B28" s="1675" t="s">
        <v>4703</v>
      </c>
    </row>
    <row r="29" spans="2:8" ht="14.25">
      <c r="B29" s="1675" t="s">
        <v>4745</v>
      </c>
    </row>
    <row r="30" spans="2:8" ht="15">
      <c r="B30" s="1674"/>
      <c r="C30" s="2" t="s">
        <v>893</v>
      </c>
    </row>
    <row r="31" spans="2:8" ht="15">
      <c r="B31" s="1674"/>
      <c r="C31" t="s">
        <v>3622</v>
      </c>
    </row>
    <row r="32" spans="2:8" ht="15">
      <c r="B32" s="1674"/>
      <c r="C32" s="2" t="s">
        <v>1386</v>
      </c>
    </row>
    <row r="33" spans="2:7" ht="15">
      <c r="B33" s="1674"/>
      <c r="C33" t="s">
        <v>3020</v>
      </c>
    </row>
    <row r="34" spans="2:7" ht="15">
      <c r="B34" s="1674"/>
      <c r="C34" s="2" t="s">
        <v>1385</v>
      </c>
    </row>
    <row r="35" spans="2:7" ht="15">
      <c r="B35" s="1674"/>
      <c r="C35" t="s">
        <v>3621</v>
      </c>
    </row>
    <row r="36" spans="2:7" ht="15">
      <c r="B36" s="1674"/>
    </row>
    <row r="37" spans="2:7" ht="15">
      <c r="B37" s="1674"/>
    </row>
    <row r="38" spans="2:7" ht="15">
      <c r="B38" s="1674"/>
    </row>
    <row r="44" spans="2:7" ht="17.25">
      <c r="B44" s="3835" t="s">
        <v>1032</v>
      </c>
      <c r="C44" s="3835"/>
      <c r="D44" s="3835"/>
      <c r="E44" s="3835"/>
      <c r="F44"/>
      <c r="G44" s="90"/>
    </row>
    <row r="45" spans="2:7">
      <c r="B45" s="484" t="s">
        <v>762</v>
      </c>
      <c r="C45" s="484" t="s">
        <v>1627</v>
      </c>
      <c r="D45" s="484" t="s">
        <v>1628</v>
      </c>
      <c r="E45" s="484" t="s">
        <v>1702</v>
      </c>
      <c r="F45" s="484" t="s">
        <v>1459</v>
      </c>
      <c r="G45" s="90" t="s">
        <v>3372</v>
      </c>
    </row>
    <row r="46" spans="2:7">
      <c r="B46" s="1619">
        <v>40865</v>
      </c>
      <c r="C46" s="13" t="s">
        <v>1460</v>
      </c>
      <c r="D46" s="13" t="s">
        <v>1461</v>
      </c>
      <c r="E46" s="13">
        <v>662</v>
      </c>
      <c r="F46" s="13" t="s">
        <v>2323</v>
      </c>
      <c r="G46" s="90">
        <v>12</v>
      </c>
    </row>
    <row r="47" spans="2:7">
      <c r="B47" s="1619">
        <v>40865</v>
      </c>
      <c r="C47" s="13" t="s">
        <v>2228</v>
      </c>
      <c r="D47" s="13" t="s">
        <v>1461</v>
      </c>
      <c r="E47" s="13">
        <v>663</v>
      </c>
      <c r="F47" s="13" t="s">
        <v>2229</v>
      </c>
      <c r="G47" s="90">
        <v>12</v>
      </c>
    </row>
    <row r="48" spans="2:7">
      <c r="B48" s="1619">
        <v>40865</v>
      </c>
      <c r="C48" s="13" t="s">
        <v>2230</v>
      </c>
      <c r="D48" s="13" t="s">
        <v>1461</v>
      </c>
      <c r="E48" s="13">
        <v>663</v>
      </c>
      <c r="F48" s="13" t="s">
        <v>2229</v>
      </c>
      <c r="G48" s="90">
        <v>12</v>
      </c>
    </row>
    <row r="49" spans="2:7" ht="15">
      <c r="B49" s="1619"/>
      <c r="C49" s="13"/>
      <c r="D49" s="1620" t="s">
        <v>2755</v>
      </c>
      <c r="E49" s="1621" t="s">
        <v>135</v>
      </c>
      <c r="F49" s="13"/>
      <c r="G49" s="471">
        <f>SUBTOTAL(9,G46:G48)</f>
        <v>36</v>
      </c>
    </row>
    <row r="50" spans="2:7">
      <c r="B50" s="1619">
        <v>40865</v>
      </c>
      <c r="C50" s="13" t="s">
        <v>4988</v>
      </c>
      <c r="D50" s="13" t="s">
        <v>4069</v>
      </c>
      <c r="E50" s="13">
        <v>662</v>
      </c>
      <c r="F50" s="13" t="s">
        <v>2323</v>
      </c>
      <c r="G50" s="90">
        <v>12</v>
      </c>
    </row>
    <row r="51" spans="2:7">
      <c r="B51" s="1619">
        <v>40865</v>
      </c>
      <c r="C51" s="13" t="s">
        <v>4989</v>
      </c>
      <c r="D51" s="13" t="s">
        <v>4069</v>
      </c>
      <c r="E51" s="13">
        <v>662</v>
      </c>
      <c r="F51" s="13" t="s">
        <v>2323</v>
      </c>
      <c r="G51" s="90">
        <v>12</v>
      </c>
    </row>
    <row r="52" spans="2:7">
      <c r="B52" s="1619">
        <v>40865</v>
      </c>
      <c r="C52" s="13" t="s">
        <v>2798</v>
      </c>
      <c r="D52" s="13" t="s">
        <v>4069</v>
      </c>
      <c r="E52" s="13">
        <v>662</v>
      </c>
      <c r="F52" s="13" t="s">
        <v>2323</v>
      </c>
      <c r="G52" s="90">
        <v>12</v>
      </c>
    </row>
    <row r="53" spans="2:7">
      <c r="B53" s="1619">
        <v>40865</v>
      </c>
      <c r="C53" s="13" t="s">
        <v>4837</v>
      </c>
      <c r="D53" s="13" t="s">
        <v>4069</v>
      </c>
      <c r="E53" s="13">
        <v>662</v>
      </c>
      <c r="F53" s="13" t="s">
        <v>2323</v>
      </c>
      <c r="G53" s="90">
        <v>12</v>
      </c>
    </row>
    <row r="54" spans="2:7">
      <c r="B54" s="1619">
        <v>40865</v>
      </c>
      <c r="C54" s="13" t="s">
        <v>4838</v>
      </c>
      <c r="D54" s="13" t="s">
        <v>4069</v>
      </c>
      <c r="E54" s="13">
        <v>663</v>
      </c>
      <c r="F54" s="13" t="s">
        <v>2229</v>
      </c>
      <c r="G54" s="90">
        <v>12</v>
      </c>
    </row>
    <row r="55" spans="2:7">
      <c r="B55" s="1619">
        <v>40865</v>
      </c>
      <c r="C55" s="13" t="s">
        <v>4839</v>
      </c>
      <c r="D55" s="13" t="s">
        <v>4069</v>
      </c>
      <c r="E55" s="13">
        <v>663</v>
      </c>
      <c r="F55" s="13" t="s">
        <v>2229</v>
      </c>
      <c r="G55" s="90">
        <v>12</v>
      </c>
    </row>
    <row r="56" spans="2:7">
      <c r="B56" s="1619">
        <v>40865</v>
      </c>
      <c r="C56" s="13" t="s">
        <v>4816</v>
      </c>
      <c r="D56" s="13" t="s">
        <v>4069</v>
      </c>
      <c r="E56" s="13">
        <v>663</v>
      </c>
      <c r="F56" s="13" t="s">
        <v>2229</v>
      </c>
      <c r="G56" s="90">
        <v>12</v>
      </c>
    </row>
    <row r="57" spans="2:7">
      <c r="B57" s="1619">
        <v>40865</v>
      </c>
      <c r="C57" s="13" t="s">
        <v>66</v>
      </c>
      <c r="D57" s="13" t="s">
        <v>4069</v>
      </c>
      <c r="E57" s="13">
        <v>663</v>
      </c>
      <c r="F57" s="13" t="s">
        <v>2229</v>
      </c>
      <c r="G57" s="90">
        <v>12</v>
      </c>
    </row>
    <row r="58" spans="2:7" ht="15">
      <c r="B58" s="1619"/>
      <c r="C58" s="13"/>
      <c r="D58" s="2" t="s">
        <v>2258</v>
      </c>
      <c r="E58" s="1621" t="s">
        <v>2639</v>
      </c>
      <c r="F58" s="13"/>
      <c r="G58" s="471">
        <f>SUBTOTAL(9,G50:G57)</f>
        <v>96</v>
      </c>
    </row>
    <row r="59" spans="2:7">
      <c r="B59" s="1619">
        <v>40865</v>
      </c>
      <c r="C59" s="13" t="s">
        <v>2259</v>
      </c>
      <c r="D59" s="13" t="s">
        <v>290</v>
      </c>
      <c r="E59" s="13">
        <v>662</v>
      </c>
      <c r="F59" s="13" t="s">
        <v>2323</v>
      </c>
      <c r="G59" s="90">
        <v>12</v>
      </c>
    </row>
    <row r="60" spans="2:7">
      <c r="B60" s="1619">
        <v>40865</v>
      </c>
      <c r="C60" s="13" t="s">
        <v>2260</v>
      </c>
      <c r="D60" s="13" t="s">
        <v>290</v>
      </c>
      <c r="E60" s="13">
        <v>662</v>
      </c>
      <c r="F60" s="13" t="s">
        <v>2323</v>
      </c>
      <c r="G60" s="90">
        <v>12</v>
      </c>
    </row>
    <row r="61" spans="2:7">
      <c r="B61" s="1619">
        <v>40865</v>
      </c>
      <c r="C61" s="13" t="s">
        <v>2261</v>
      </c>
      <c r="D61" s="13" t="s">
        <v>290</v>
      </c>
      <c r="E61" s="13">
        <v>663</v>
      </c>
      <c r="F61" s="13" t="s">
        <v>2229</v>
      </c>
      <c r="G61" s="90">
        <v>12</v>
      </c>
    </row>
    <row r="62" spans="2:7" ht="15">
      <c r="B62" s="1619"/>
      <c r="C62" s="13"/>
      <c r="D62" s="2" t="s">
        <v>1571</v>
      </c>
      <c r="E62" s="1621" t="s">
        <v>3461</v>
      </c>
      <c r="F62" s="13"/>
      <c r="G62" s="471">
        <f>SUBTOTAL(9,G59:G61)</f>
        <v>36</v>
      </c>
    </row>
    <row r="63" spans="2:7">
      <c r="B63" s="1619">
        <v>40865</v>
      </c>
      <c r="C63" s="13" t="s">
        <v>648</v>
      </c>
      <c r="D63" s="13" t="s">
        <v>649</v>
      </c>
      <c r="E63" s="13">
        <v>662</v>
      </c>
      <c r="F63" s="13" t="s">
        <v>2323</v>
      </c>
      <c r="G63" s="90">
        <v>12</v>
      </c>
    </row>
    <row r="64" spans="2:7">
      <c r="B64" s="1619">
        <v>40865</v>
      </c>
      <c r="C64" s="13" t="s">
        <v>650</v>
      </c>
      <c r="D64" s="13" t="s">
        <v>649</v>
      </c>
      <c r="E64" s="13">
        <v>663</v>
      </c>
      <c r="F64" s="13" t="s">
        <v>2229</v>
      </c>
      <c r="G64" s="90">
        <v>12</v>
      </c>
    </row>
    <row r="65" spans="2:7" ht="15">
      <c r="B65" s="1619"/>
      <c r="C65" s="13"/>
      <c r="D65" s="2" t="s">
        <v>651</v>
      </c>
      <c r="E65" s="1621" t="s">
        <v>4502</v>
      </c>
      <c r="F65" s="13"/>
      <c r="G65" s="471">
        <f>SUBTOTAL(9,G63:G64)</f>
        <v>24</v>
      </c>
    </row>
    <row r="66" spans="2:7">
      <c r="B66" s="1619">
        <v>40865</v>
      </c>
      <c r="C66" s="13" t="s">
        <v>2734</v>
      </c>
      <c r="D66" s="13" t="s">
        <v>625</v>
      </c>
      <c r="E66" s="13">
        <v>662</v>
      </c>
      <c r="F66" s="13" t="s">
        <v>2323</v>
      </c>
      <c r="G66" s="90">
        <v>12</v>
      </c>
    </row>
    <row r="67" spans="2:7">
      <c r="B67" s="1619">
        <v>40865</v>
      </c>
      <c r="C67" s="13" t="s">
        <v>3974</v>
      </c>
      <c r="D67" s="13" t="s">
        <v>625</v>
      </c>
      <c r="E67" s="13">
        <v>662</v>
      </c>
      <c r="F67" s="13" t="s">
        <v>2323</v>
      </c>
      <c r="G67" s="90">
        <v>12</v>
      </c>
    </row>
    <row r="68" spans="2:7">
      <c r="B68" s="1619">
        <v>40865</v>
      </c>
      <c r="C68" s="13" t="s">
        <v>157</v>
      </c>
      <c r="D68" s="13" t="s">
        <v>625</v>
      </c>
      <c r="E68" s="13">
        <v>662</v>
      </c>
      <c r="F68" s="13" t="s">
        <v>2323</v>
      </c>
      <c r="G68" s="90">
        <v>12</v>
      </c>
    </row>
    <row r="69" spans="2:7">
      <c r="B69" s="1619">
        <v>40865</v>
      </c>
      <c r="C69" s="13" t="s">
        <v>1766</v>
      </c>
      <c r="D69" s="13" t="s">
        <v>625</v>
      </c>
      <c r="E69" s="13">
        <v>662</v>
      </c>
      <c r="F69" s="13" t="s">
        <v>2323</v>
      </c>
      <c r="G69" s="90">
        <v>12</v>
      </c>
    </row>
    <row r="70" spans="2:7" ht="15">
      <c r="B70" s="1619"/>
      <c r="C70" s="13"/>
      <c r="D70" s="2" t="s">
        <v>1767</v>
      </c>
      <c r="E70" s="1621" t="s">
        <v>1768</v>
      </c>
      <c r="F70" s="13"/>
      <c r="G70" s="471">
        <f>SUBTOTAL(9,G66:G69)</f>
        <v>48</v>
      </c>
    </row>
    <row r="71" spans="2:7">
      <c r="B71" s="1619"/>
      <c r="C71" s="13"/>
      <c r="D71" s="2" t="s">
        <v>3261</v>
      </c>
      <c r="E71" s="13"/>
      <c r="F71" s="13"/>
      <c r="G71" s="90">
        <f>SUBTOTAL(9,G46:G69)</f>
        <v>240</v>
      </c>
    </row>
    <row r="75" spans="2:7" ht="15">
      <c r="B75" s="1598" t="s">
        <v>2608</v>
      </c>
    </row>
    <row r="76" spans="2:7" ht="13.5" thickBot="1"/>
    <row r="77" spans="2:7" ht="15">
      <c r="B77" s="1579" t="s">
        <v>327</v>
      </c>
      <c r="C77" s="230"/>
      <c r="D77" s="1580" t="s">
        <v>247</v>
      </c>
      <c r="E77" s="230"/>
      <c r="F77" s="1581"/>
      <c r="G77" s="1582" t="s">
        <v>409</v>
      </c>
    </row>
    <row r="78" spans="2:7" ht="15">
      <c r="B78" s="1583" t="s">
        <v>410</v>
      </c>
      <c r="C78" s="75"/>
      <c r="D78" s="1575" t="s">
        <v>411</v>
      </c>
      <c r="E78" s="75"/>
      <c r="F78" s="1450"/>
      <c r="G78" s="1584" t="s">
        <v>409</v>
      </c>
    </row>
    <row r="79" spans="2:7" ht="15">
      <c r="B79" s="1583" t="s">
        <v>872</v>
      </c>
      <c r="C79" s="75"/>
      <c r="D79" s="1576" t="s">
        <v>2759</v>
      </c>
      <c r="E79" s="75"/>
      <c r="F79" s="1450"/>
      <c r="G79" s="1585" t="s">
        <v>409</v>
      </c>
    </row>
    <row r="80" spans="2:7" s="1535" customFormat="1" ht="15.75" thickBot="1">
      <c r="B80" s="1599" t="s">
        <v>4191</v>
      </c>
      <c r="C80" s="1325"/>
      <c r="D80" s="1586" t="s">
        <v>1869</v>
      </c>
      <c r="E80" s="1325"/>
      <c r="F80" s="1587"/>
      <c r="G80" s="1588" t="s">
        <v>409</v>
      </c>
    </row>
    <row r="81" spans="2:25" s="1535" customFormat="1" ht="15">
      <c r="B81" s="1579" t="s">
        <v>4289</v>
      </c>
      <c r="C81" s="230"/>
      <c r="D81" s="1580" t="s">
        <v>4377</v>
      </c>
      <c r="E81" s="230"/>
      <c r="F81" s="1581"/>
      <c r="G81" s="1582" t="s">
        <v>4378</v>
      </c>
    </row>
    <row r="82" spans="2:25" s="1535" customFormat="1" ht="15">
      <c r="B82" s="1583" t="s">
        <v>4536</v>
      </c>
      <c r="C82" s="75"/>
      <c r="D82" s="1575" t="s">
        <v>4349</v>
      </c>
      <c r="E82" s="75"/>
      <c r="F82" s="1450"/>
      <c r="G82" s="1589" t="s">
        <v>4378</v>
      </c>
    </row>
    <row r="83" spans="2:25" s="1535" customFormat="1" ht="15">
      <c r="B83" s="1583" t="s">
        <v>1484</v>
      </c>
      <c r="C83" s="75"/>
      <c r="D83" s="1575" t="s">
        <v>1000</v>
      </c>
      <c r="E83" s="75"/>
      <c r="F83" s="1450"/>
      <c r="G83" s="1589" t="s">
        <v>4378</v>
      </c>
    </row>
    <row r="84" spans="2:25" s="1535" customFormat="1" ht="15">
      <c r="B84" s="1583" t="s">
        <v>3309</v>
      </c>
      <c r="C84" s="75"/>
      <c r="D84" s="1575" t="s">
        <v>3310</v>
      </c>
      <c r="E84" s="75"/>
      <c r="F84" s="1450"/>
      <c r="G84" s="1589" t="s">
        <v>4378</v>
      </c>
    </row>
    <row r="85" spans="2:25" s="1535" customFormat="1" ht="15">
      <c r="B85" s="1600" t="s">
        <v>3311</v>
      </c>
      <c r="C85" s="75"/>
      <c r="D85" s="1577" t="s">
        <v>1037</v>
      </c>
      <c r="E85" s="75"/>
      <c r="F85" s="1450"/>
      <c r="G85" s="1590" t="s">
        <v>4378</v>
      </c>
    </row>
    <row r="86" spans="2:25" s="1535" customFormat="1" ht="15.75" thickBot="1">
      <c r="B86" s="1599" t="s">
        <v>1038</v>
      </c>
      <c r="C86" s="1325"/>
      <c r="D86" s="1591" t="s">
        <v>3780</v>
      </c>
      <c r="E86" s="1325"/>
      <c r="F86" s="1587"/>
      <c r="G86" s="1592" t="s">
        <v>4378</v>
      </c>
    </row>
    <row r="87" spans="2:25" s="1535" customFormat="1" ht="15">
      <c r="B87" s="1579" t="s">
        <v>1664</v>
      </c>
      <c r="C87" s="230"/>
      <c r="D87" s="1593" t="s">
        <v>1665</v>
      </c>
      <c r="E87" s="230"/>
      <c r="F87" s="1581"/>
      <c r="G87" s="1594" t="s">
        <v>4013</v>
      </c>
    </row>
    <row r="88" spans="2:25" s="1535" customFormat="1" ht="15">
      <c r="B88" s="1583" t="s">
        <v>63</v>
      </c>
      <c r="C88" s="75"/>
      <c r="D88" s="1575" t="s">
        <v>64</v>
      </c>
      <c r="E88" s="75"/>
      <c r="F88" s="1450"/>
      <c r="G88" s="1589" t="s">
        <v>4013</v>
      </c>
    </row>
    <row r="89" spans="2:25" s="1535" customFormat="1" ht="15">
      <c r="B89" s="1583" t="s">
        <v>2634</v>
      </c>
      <c r="C89" s="75"/>
      <c r="D89" s="1578" t="s">
        <v>2754</v>
      </c>
      <c r="E89" s="75"/>
      <c r="F89" s="1450"/>
      <c r="G89" s="1595" t="s">
        <v>4013</v>
      </c>
    </row>
    <row r="90" spans="2:25" s="1535" customFormat="1" ht="15">
      <c r="B90" s="1583" t="s">
        <v>4809</v>
      </c>
      <c r="C90" s="75"/>
      <c r="D90" s="1575" t="s">
        <v>4817</v>
      </c>
      <c r="E90" s="75"/>
      <c r="F90" s="1450"/>
      <c r="G90" s="1589" t="s">
        <v>4013</v>
      </c>
      <c r="R90" s="1542" t="s">
        <v>4209</v>
      </c>
    </row>
    <row r="91" spans="2:25" s="1535" customFormat="1" ht="15.75" thickBot="1">
      <c r="B91" s="1599" t="s">
        <v>722</v>
      </c>
      <c r="C91" s="1325"/>
      <c r="D91" s="1596" t="s">
        <v>1666</v>
      </c>
      <c r="E91" s="1325"/>
      <c r="F91" s="1587"/>
      <c r="G91" s="1597" t="s">
        <v>4013</v>
      </c>
    </row>
    <row r="92" spans="2:25" s="1535" customFormat="1">
      <c r="B92"/>
      <c r="C92"/>
      <c r="D92" s="8"/>
      <c r="E92"/>
      <c r="F92" s="71"/>
      <c r="G92"/>
      <c r="R92" s="1536" t="s">
        <v>5013</v>
      </c>
      <c r="W92" s="1536" t="s">
        <v>5013</v>
      </c>
    </row>
    <row r="93" spans="2:25" s="1535" customFormat="1" ht="15">
      <c r="B93"/>
      <c r="C93"/>
      <c r="D93" s="8"/>
      <c r="E93"/>
      <c r="F93" s="71"/>
      <c r="G93"/>
      <c r="Q93" s="1543"/>
      <c r="R93" s="1544" t="s">
        <v>3590</v>
      </c>
      <c r="S93" s="1545" t="s">
        <v>3591</v>
      </c>
      <c r="T93" s="1546" t="s">
        <v>2269</v>
      </c>
      <c r="U93" s="1547"/>
      <c r="V93" s="1548"/>
      <c r="W93" s="1544" t="s">
        <v>3590</v>
      </c>
      <c r="X93" s="1545" t="s">
        <v>3591</v>
      </c>
      <c r="Y93" s="1546" t="s">
        <v>2269</v>
      </c>
    </row>
    <row r="94" spans="2:25" s="1535" customFormat="1" ht="15.75">
      <c r="B94"/>
      <c r="C94"/>
      <c r="D94" s="8"/>
      <c r="E94"/>
      <c r="F94" s="71"/>
      <c r="G94"/>
      <c r="Q94" s="1549">
        <v>1</v>
      </c>
      <c r="R94" s="1550">
        <v>101</v>
      </c>
      <c r="S94" s="1551" t="s">
        <v>2270</v>
      </c>
      <c r="T94" s="1552" t="s">
        <v>3181</v>
      </c>
      <c r="U94" s="1553"/>
      <c r="V94" s="1554">
        <v>24</v>
      </c>
      <c r="W94" s="1550">
        <v>163</v>
      </c>
      <c r="X94" s="1551" t="s">
        <v>4655</v>
      </c>
      <c r="Y94" s="1552" t="s">
        <v>3181</v>
      </c>
    </row>
    <row r="95" spans="2:25" s="1535" customFormat="1" ht="15.75">
      <c r="B95" s="2" t="s">
        <v>3341</v>
      </c>
      <c r="C95"/>
      <c r="D95" s="1513">
        <v>40823</v>
      </c>
      <c r="E95"/>
      <c r="F95" s="71"/>
      <c r="G95"/>
      <c r="Q95" s="1549">
        <v>2</v>
      </c>
      <c r="R95" s="1550">
        <v>105</v>
      </c>
      <c r="S95" s="1551" t="s">
        <v>672</v>
      </c>
      <c r="T95" s="1552" t="s">
        <v>3181</v>
      </c>
      <c r="U95" s="1553"/>
      <c r="V95" s="1554">
        <v>25</v>
      </c>
      <c r="W95" s="1550">
        <v>164</v>
      </c>
      <c r="X95" s="1551" t="s">
        <v>4656</v>
      </c>
      <c r="Y95" s="1552" t="s">
        <v>3181</v>
      </c>
    </row>
    <row r="96" spans="2:25" s="1535" customFormat="1" ht="15.75">
      <c r="B96" t="s">
        <v>4410</v>
      </c>
      <c r="C96"/>
      <c r="D96" s="8"/>
      <c r="E96"/>
      <c r="F96" s="71"/>
      <c r="G96"/>
      <c r="Q96" s="1549">
        <v>3</v>
      </c>
      <c r="R96" s="1550">
        <v>106</v>
      </c>
      <c r="S96" s="1551" t="s">
        <v>3798</v>
      </c>
      <c r="T96" s="1552" t="s">
        <v>3181</v>
      </c>
      <c r="U96" s="1553"/>
      <c r="V96" s="1554">
        <v>26</v>
      </c>
      <c r="W96" s="1550">
        <v>165</v>
      </c>
      <c r="X96" s="1551" t="s">
        <v>4657</v>
      </c>
      <c r="Y96" s="1552" t="s">
        <v>3181</v>
      </c>
    </row>
    <row r="97" spans="2:25" s="1535" customFormat="1" ht="15.75">
      <c r="B97" t="s">
        <v>4456</v>
      </c>
      <c r="C97"/>
      <c r="D97" s="8"/>
      <c r="E97"/>
      <c r="F97" s="71"/>
      <c r="G97"/>
      <c r="Q97" s="1549">
        <v>4</v>
      </c>
      <c r="R97" s="1550">
        <v>108</v>
      </c>
      <c r="S97" s="1551" t="s">
        <v>3800</v>
      </c>
      <c r="T97" s="1552" t="s">
        <v>3181</v>
      </c>
      <c r="U97" s="1553"/>
      <c r="V97" s="1554">
        <v>27</v>
      </c>
      <c r="W97" s="1550">
        <v>166</v>
      </c>
      <c r="X97" s="1551" t="s">
        <v>900</v>
      </c>
      <c r="Y97" s="1552" t="s">
        <v>3181</v>
      </c>
    </row>
    <row r="98" spans="2:25" s="1535" customFormat="1" ht="15.75">
      <c r="B98" t="s">
        <v>602</v>
      </c>
      <c r="C98"/>
      <c r="D98" s="8"/>
      <c r="E98"/>
      <c r="F98" s="71"/>
      <c r="G98"/>
      <c r="Q98" s="1549">
        <v>5</v>
      </c>
      <c r="R98" s="1550">
        <v>111</v>
      </c>
      <c r="S98" s="1551" t="s">
        <v>4926</v>
      </c>
      <c r="T98" s="1552" t="s">
        <v>3181</v>
      </c>
      <c r="U98" s="1553"/>
      <c r="V98" s="1554">
        <v>28</v>
      </c>
      <c r="W98" s="1550">
        <v>167</v>
      </c>
      <c r="X98" s="1551" t="s">
        <v>901</v>
      </c>
      <c r="Y98" s="1552" t="s">
        <v>3181</v>
      </c>
    </row>
    <row r="99" spans="2:25" s="1535" customFormat="1" ht="15.75">
      <c r="B99" t="s">
        <v>1462</v>
      </c>
      <c r="C99"/>
      <c r="D99" s="8"/>
      <c r="E99"/>
      <c r="F99" s="71"/>
      <c r="G99"/>
      <c r="Q99" s="1549">
        <v>6</v>
      </c>
      <c r="R99" s="1550">
        <v>114</v>
      </c>
      <c r="S99" s="1551" t="s">
        <v>1257</v>
      </c>
      <c r="T99" s="1552" t="s">
        <v>3181</v>
      </c>
      <c r="U99" s="1553"/>
      <c r="V99" s="1554">
        <v>29</v>
      </c>
      <c r="W99" s="1550">
        <v>169</v>
      </c>
      <c r="X99" s="1551" t="s">
        <v>903</v>
      </c>
      <c r="Y99" s="1552" t="s">
        <v>3181</v>
      </c>
    </row>
    <row r="100" spans="2:25" s="1535" customFormat="1" ht="15.75">
      <c r="B100"/>
      <c r="C100"/>
      <c r="D100" s="8"/>
      <c r="E100"/>
      <c r="F100" s="71"/>
      <c r="G100"/>
      <c r="Q100" s="1549">
        <v>7</v>
      </c>
      <c r="R100" s="1550">
        <v>116</v>
      </c>
      <c r="S100" s="1551" t="s">
        <v>1259</v>
      </c>
      <c r="T100" s="1552" t="s">
        <v>3181</v>
      </c>
      <c r="U100" s="1553"/>
      <c r="V100" s="1554">
        <v>30</v>
      </c>
      <c r="W100" s="1550">
        <v>170</v>
      </c>
      <c r="X100" s="1551" t="s">
        <v>904</v>
      </c>
      <c r="Y100" s="1552" t="s">
        <v>3181</v>
      </c>
    </row>
    <row r="101" spans="2:25" s="1535" customFormat="1" ht="15.75">
      <c r="B101" s="2" t="s">
        <v>818</v>
      </c>
      <c r="C101"/>
      <c r="D101" s="1513">
        <v>40823</v>
      </c>
      <c r="E101"/>
      <c r="F101" s="71"/>
      <c r="G101"/>
      <c r="Q101" s="1549">
        <v>8</v>
      </c>
      <c r="R101" s="1550">
        <v>119</v>
      </c>
      <c r="S101" s="1551" t="s">
        <v>4890</v>
      </c>
      <c r="T101" s="1552" t="s">
        <v>3181</v>
      </c>
      <c r="U101" s="1553"/>
    </row>
    <row r="102" spans="2:25" s="1535" customFormat="1" ht="15.75">
      <c r="B102" t="s">
        <v>3941</v>
      </c>
      <c r="C102"/>
      <c r="D102" s="8"/>
      <c r="E102"/>
      <c r="F102" s="71"/>
      <c r="G102"/>
      <c r="Q102" s="1549">
        <v>9</v>
      </c>
      <c r="R102" s="1550">
        <v>122</v>
      </c>
      <c r="S102" s="1551" t="s">
        <v>1749</v>
      </c>
      <c r="T102" s="1552" t="s">
        <v>3181</v>
      </c>
      <c r="U102" s="1553"/>
      <c r="V102" s="1555"/>
    </row>
    <row r="103" spans="2:25" s="1535" customFormat="1" ht="15.75">
      <c r="B103" t="s">
        <v>4791</v>
      </c>
      <c r="C103"/>
      <c r="D103" s="8"/>
      <c r="E103"/>
      <c r="F103" s="71"/>
      <c r="G103"/>
      <c r="Q103" s="1549">
        <v>10</v>
      </c>
      <c r="R103" s="1550">
        <v>123</v>
      </c>
      <c r="S103" s="1551" t="s">
        <v>813</v>
      </c>
      <c r="T103" s="1552" t="s">
        <v>3181</v>
      </c>
      <c r="U103" s="1553"/>
      <c r="V103" s="1555"/>
      <c r="W103" s="1536" t="s">
        <v>379</v>
      </c>
    </row>
    <row r="104" spans="2:25" s="1535" customFormat="1" ht="15.75">
      <c r="B104" s="2" t="s">
        <v>3504</v>
      </c>
      <c r="C104"/>
      <c r="D104" s="8"/>
      <c r="E104"/>
      <c r="F104" s="71"/>
      <c r="G104"/>
      <c r="Q104" s="1549">
        <v>11</v>
      </c>
      <c r="R104" s="1550">
        <v>124</v>
      </c>
      <c r="S104" s="1551" t="s">
        <v>814</v>
      </c>
      <c r="T104" s="1552" t="s">
        <v>3181</v>
      </c>
      <c r="U104" s="1553"/>
      <c r="V104" s="1555"/>
      <c r="W104" s="1556" t="s">
        <v>1497</v>
      </c>
      <c r="X104" s="1545" t="s">
        <v>3591</v>
      </c>
      <c r="Y104" s="1546" t="s">
        <v>2269</v>
      </c>
    </row>
    <row r="105" spans="2:25" s="1535" customFormat="1" ht="15.75">
      <c r="B105"/>
      <c r="C105"/>
      <c r="D105" s="8"/>
      <c r="E105"/>
      <c r="F105" s="71"/>
      <c r="G105"/>
      <c r="Q105" s="1549">
        <v>12</v>
      </c>
      <c r="R105" s="1550">
        <v>151</v>
      </c>
      <c r="S105" s="1551" t="s">
        <v>815</v>
      </c>
      <c r="T105" s="1552" t="s">
        <v>3181</v>
      </c>
      <c r="U105" s="1553"/>
      <c r="V105" s="1554">
        <v>1</v>
      </c>
      <c r="W105" s="1557" t="s">
        <v>4210</v>
      </c>
      <c r="X105" s="1558" t="s">
        <v>612</v>
      </c>
      <c r="Y105" s="1559" t="s">
        <v>4376</v>
      </c>
    </row>
    <row r="106" spans="2:25" s="1535" customFormat="1" ht="15.75">
      <c r="B106"/>
      <c r="C106"/>
      <c r="D106" s="8"/>
      <c r="E106"/>
      <c r="F106" s="71"/>
      <c r="G106"/>
      <c r="Q106" s="1549">
        <v>13</v>
      </c>
      <c r="R106" s="1550">
        <v>152</v>
      </c>
      <c r="S106" s="1551" t="s">
        <v>816</v>
      </c>
      <c r="T106" s="1552" t="s">
        <v>3181</v>
      </c>
      <c r="U106" s="1553"/>
      <c r="V106" s="1554">
        <v>2</v>
      </c>
      <c r="W106" s="1557" t="s">
        <v>4211</v>
      </c>
      <c r="X106" s="1558" t="s">
        <v>2313</v>
      </c>
      <c r="Y106" s="1559" t="s">
        <v>4207</v>
      </c>
    </row>
    <row r="107" spans="2:25" s="1535" customFormat="1" ht="15.75">
      <c r="B107"/>
      <c r="C107"/>
      <c r="D107" s="8"/>
      <c r="E107"/>
      <c r="F107" s="71"/>
      <c r="G107"/>
      <c r="Q107" s="1549">
        <v>14</v>
      </c>
      <c r="R107" s="1550">
        <v>153</v>
      </c>
      <c r="S107" s="1551" t="s">
        <v>2837</v>
      </c>
      <c r="T107" s="1552" t="s">
        <v>3181</v>
      </c>
      <c r="U107" s="1553"/>
      <c r="V107" s="1554">
        <v>3</v>
      </c>
      <c r="W107" s="1557" t="s">
        <v>4211</v>
      </c>
      <c r="X107" s="1558" t="s">
        <v>2255</v>
      </c>
      <c r="Y107" s="1559" t="s">
        <v>1034</v>
      </c>
    </row>
    <row r="108" spans="2:25" s="1535" customFormat="1" ht="15.75">
      <c r="B108" s="1536" t="s">
        <v>818</v>
      </c>
      <c r="D108" s="1537">
        <v>40816</v>
      </c>
      <c r="F108" s="1538"/>
      <c r="Q108" s="1549">
        <v>15</v>
      </c>
      <c r="R108" s="1550">
        <v>154</v>
      </c>
      <c r="S108" s="1551" t="s">
        <v>1555</v>
      </c>
      <c r="T108" s="1552" t="s">
        <v>3181</v>
      </c>
      <c r="U108" s="1553"/>
      <c r="V108" s="1554">
        <v>4</v>
      </c>
      <c r="W108" s="1557" t="s">
        <v>4211</v>
      </c>
      <c r="X108" s="1558" t="s">
        <v>788</v>
      </c>
      <c r="Y108" s="1559" t="s">
        <v>665</v>
      </c>
    </row>
    <row r="109" spans="2:25" s="1535" customFormat="1" ht="15.75">
      <c r="B109" s="1535" t="s">
        <v>2134</v>
      </c>
      <c r="D109" s="1539"/>
      <c r="F109" s="1538"/>
      <c r="Q109" s="1549">
        <v>16</v>
      </c>
      <c r="R109" s="1550">
        <v>155</v>
      </c>
      <c r="S109" s="1551" t="s">
        <v>129</v>
      </c>
      <c r="T109" s="1552" t="s">
        <v>3181</v>
      </c>
      <c r="U109" s="1553"/>
      <c r="V109" s="1554">
        <v>5</v>
      </c>
      <c r="W109" s="1557" t="s">
        <v>4211</v>
      </c>
      <c r="X109" s="1558" t="s">
        <v>2314</v>
      </c>
      <c r="Y109" s="1559" t="s">
        <v>2643</v>
      </c>
    </row>
    <row r="110" spans="2:25" s="1535" customFormat="1" ht="15.75">
      <c r="B110" s="1535" t="s">
        <v>2547</v>
      </c>
      <c r="D110" s="1539"/>
      <c r="F110" s="1538"/>
      <c r="Q110" s="1549">
        <v>17</v>
      </c>
      <c r="R110" s="1550">
        <v>156</v>
      </c>
      <c r="S110" s="1551" t="s">
        <v>130</v>
      </c>
      <c r="T110" s="1552" t="s">
        <v>3181</v>
      </c>
      <c r="U110" s="1553"/>
      <c r="V110" s="1554">
        <v>6</v>
      </c>
      <c r="W110" s="1557" t="s">
        <v>4210</v>
      </c>
      <c r="X110" s="1558" t="s">
        <v>3252</v>
      </c>
      <c r="Y110" s="1559" t="s">
        <v>2642</v>
      </c>
    </row>
    <row r="111" spans="2:25" s="1535" customFormat="1" ht="15.75">
      <c r="D111" s="1539"/>
      <c r="F111" s="1538"/>
      <c r="Q111" s="1549">
        <v>18</v>
      </c>
      <c r="R111" s="1550">
        <v>157</v>
      </c>
      <c r="S111" s="1551" t="s">
        <v>131</v>
      </c>
      <c r="T111" s="1552" t="s">
        <v>3181</v>
      </c>
      <c r="U111" s="1553"/>
      <c r="V111" s="1554">
        <v>7</v>
      </c>
      <c r="W111" s="1557" t="s">
        <v>4211</v>
      </c>
      <c r="X111" s="1558" t="s">
        <v>1978</v>
      </c>
      <c r="Y111" s="1559" t="s">
        <v>4208</v>
      </c>
    </row>
    <row r="112" spans="2:25" s="1535" customFormat="1" ht="15.75">
      <c r="B112" s="1536" t="s">
        <v>3341</v>
      </c>
      <c r="D112" s="1537">
        <v>40816</v>
      </c>
      <c r="F112" s="1538"/>
      <c r="Q112" s="1549">
        <v>19</v>
      </c>
      <c r="R112" s="1550">
        <v>158</v>
      </c>
      <c r="S112" s="1551" t="s">
        <v>132</v>
      </c>
      <c r="T112" s="1552" t="s">
        <v>3181</v>
      </c>
      <c r="U112" s="1553"/>
      <c r="V112" s="1554">
        <v>8</v>
      </c>
      <c r="W112" s="1557" t="s">
        <v>4212</v>
      </c>
      <c r="X112" s="1558" t="s">
        <v>3686</v>
      </c>
      <c r="Y112" s="1559" t="s">
        <v>3687</v>
      </c>
    </row>
    <row r="113" spans="2:25" s="1535" customFormat="1" ht="15.75">
      <c r="B113" s="1535" t="s">
        <v>2414</v>
      </c>
      <c r="D113" s="1539"/>
      <c r="F113" s="1538"/>
      <c r="Q113" s="1549">
        <v>20</v>
      </c>
      <c r="R113" s="1550">
        <v>159</v>
      </c>
      <c r="S113" s="1551" t="s">
        <v>1115</v>
      </c>
      <c r="T113" s="1552" t="s">
        <v>3181</v>
      </c>
      <c r="U113" s="1553"/>
      <c r="V113" s="1554">
        <v>9</v>
      </c>
      <c r="W113" s="1557" t="s">
        <v>4210</v>
      </c>
      <c r="X113" s="1551" t="s">
        <v>1650</v>
      </c>
      <c r="Y113" s="1562" t="s">
        <v>4375</v>
      </c>
    </row>
    <row r="114" spans="2:25" s="1535" customFormat="1" ht="15.75">
      <c r="B114" s="1535" t="s">
        <v>461</v>
      </c>
      <c r="D114" s="1539"/>
      <c r="F114" s="1538"/>
      <c r="Q114" s="1549">
        <v>21</v>
      </c>
      <c r="R114" s="1550">
        <v>160</v>
      </c>
      <c r="S114" s="1551" t="s">
        <v>1116</v>
      </c>
      <c r="T114" s="1552" t="s">
        <v>3181</v>
      </c>
      <c r="U114" s="1553"/>
      <c r="V114" s="1554">
        <v>10</v>
      </c>
      <c r="W114" s="1557" t="s">
        <v>4211</v>
      </c>
      <c r="X114" s="1558" t="s">
        <v>1979</v>
      </c>
      <c r="Y114" s="1559" t="s">
        <v>3100</v>
      </c>
    </row>
    <row r="115" spans="2:25" s="1535" customFormat="1" ht="15.75">
      <c r="B115" s="1535" t="s">
        <v>3334</v>
      </c>
      <c r="D115" s="1539"/>
      <c r="F115" s="1538"/>
      <c r="Q115" s="1549">
        <v>22</v>
      </c>
      <c r="R115" s="1550">
        <v>161</v>
      </c>
      <c r="S115" s="1551" t="s">
        <v>1117</v>
      </c>
      <c r="T115" s="1552" t="s">
        <v>3181</v>
      </c>
      <c r="U115" s="1553"/>
      <c r="V115" s="1554">
        <v>11</v>
      </c>
      <c r="W115" s="1557" t="s">
        <v>4211</v>
      </c>
      <c r="X115" s="1558" t="s">
        <v>1732</v>
      </c>
      <c r="Y115" s="1559" t="s">
        <v>1679</v>
      </c>
    </row>
    <row r="116" spans="2:25" s="1535" customFormat="1" ht="15.75">
      <c r="B116" s="1535" t="s">
        <v>4424</v>
      </c>
      <c r="D116" s="1539"/>
      <c r="F116" s="1538"/>
      <c r="Q116" s="1554">
        <v>23</v>
      </c>
      <c r="R116" s="1550">
        <v>162</v>
      </c>
      <c r="S116" s="1551" t="s">
        <v>4654</v>
      </c>
      <c r="T116" s="1552" t="s">
        <v>3181</v>
      </c>
      <c r="V116" s="1554">
        <v>12</v>
      </c>
      <c r="W116" s="1557" t="s">
        <v>4210</v>
      </c>
      <c r="X116" s="1558" t="s">
        <v>1576</v>
      </c>
      <c r="Y116" s="1559" t="s">
        <v>2963</v>
      </c>
    </row>
    <row r="117" spans="2:25" s="1535" customFormat="1">
      <c r="D117" s="1539"/>
      <c r="F117" s="1538"/>
    </row>
    <row r="118" spans="2:25" s="1535" customFormat="1">
      <c r="D118" s="1539"/>
      <c r="F118" s="1538"/>
    </row>
    <row r="119" spans="2:25" s="1535" customFormat="1">
      <c r="D119" s="1539"/>
      <c r="F119" s="1538"/>
    </row>
    <row r="120" spans="2:25" s="1535" customFormat="1">
      <c r="D120" s="1539"/>
      <c r="F120" s="1538"/>
    </row>
    <row r="121" spans="2:25" s="1535" customFormat="1">
      <c r="B121" s="1536" t="s">
        <v>818</v>
      </c>
      <c r="D121" s="1537">
        <v>40809</v>
      </c>
      <c r="F121" s="1538"/>
    </row>
    <row r="122" spans="2:25" s="1535" customFormat="1">
      <c r="B122" s="1535" t="s">
        <v>2449</v>
      </c>
      <c r="D122" s="1537"/>
      <c r="F122" s="1538"/>
    </row>
    <row r="123" spans="2:25" s="1535" customFormat="1">
      <c r="B123" s="1535" t="s">
        <v>386</v>
      </c>
      <c r="D123" s="1537"/>
      <c r="F123" s="1538"/>
    </row>
    <row r="124" spans="2:25" s="1535" customFormat="1">
      <c r="D124" s="1539"/>
      <c r="F124" s="1538"/>
    </row>
    <row r="125" spans="2:25" s="1535" customFormat="1">
      <c r="D125" s="1539"/>
      <c r="F125" s="1538"/>
    </row>
    <row r="126" spans="2:25" s="1535" customFormat="1">
      <c r="B126" s="1536" t="s">
        <v>3341</v>
      </c>
      <c r="D126" s="1537">
        <v>40809</v>
      </c>
      <c r="F126" s="1538"/>
    </row>
    <row r="127" spans="2:25" s="1535" customFormat="1">
      <c r="B127" s="1535" t="s">
        <v>0</v>
      </c>
      <c r="D127" s="1537"/>
      <c r="F127" s="1538"/>
    </row>
    <row r="128" spans="2:25" s="1535" customFormat="1" outlineLevel="2">
      <c r="B128" s="1535" t="s">
        <v>4875</v>
      </c>
      <c r="D128" s="1539"/>
      <c r="F128" s="1538"/>
    </row>
    <row r="129" spans="2:6" s="1535" customFormat="1" outlineLevel="2">
      <c r="D129" s="1539"/>
      <c r="F129" s="1538"/>
    </row>
    <row r="130" spans="2:6" s="1535" customFormat="1" outlineLevel="2">
      <c r="D130" s="1539"/>
      <c r="F130" s="1538"/>
    </row>
    <row r="131" spans="2:6" s="1535" customFormat="1" outlineLevel="2">
      <c r="D131" s="1539"/>
      <c r="F131" s="1538"/>
    </row>
    <row r="132" spans="2:6" s="1535" customFormat="1" outlineLevel="1">
      <c r="D132" s="3842" t="s">
        <v>2357</v>
      </c>
      <c r="E132" s="3842"/>
      <c r="F132" s="3842"/>
    </row>
    <row r="133" spans="2:6" s="1535" customFormat="1" outlineLevel="2">
      <c r="D133" s="1539" t="s">
        <v>1629</v>
      </c>
      <c r="E133" s="1539" t="s">
        <v>485</v>
      </c>
      <c r="F133" s="1539"/>
    </row>
    <row r="134" spans="2:6" s="1535" customFormat="1" outlineLevel="2">
      <c r="D134" s="1560" t="s">
        <v>225</v>
      </c>
      <c r="E134" s="1535" t="s">
        <v>3935</v>
      </c>
      <c r="F134" s="1538"/>
    </row>
    <row r="135" spans="2:6" s="1535" customFormat="1" outlineLevel="2">
      <c r="D135" s="1560" t="s">
        <v>226</v>
      </c>
      <c r="E135" s="1535" t="s">
        <v>3935</v>
      </c>
      <c r="F135" s="1538"/>
    </row>
    <row r="136" spans="2:6" s="1535" customFormat="1" outlineLevel="2">
      <c r="D136" s="1560" t="s">
        <v>3257</v>
      </c>
      <c r="E136" s="1535" t="s">
        <v>3935</v>
      </c>
      <c r="F136" s="1538"/>
    </row>
    <row r="137" spans="2:6" s="1535" customFormat="1" outlineLevel="1">
      <c r="D137" s="1560" t="s">
        <v>2444</v>
      </c>
      <c r="E137" s="1535" t="s">
        <v>3935</v>
      </c>
      <c r="F137" s="1538"/>
    </row>
    <row r="138" spans="2:6" s="1535" customFormat="1" outlineLevel="2">
      <c r="D138" s="1560"/>
      <c r="F138" s="1538"/>
    </row>
    <row r="139" spans="2:6" s="1535" customFormat="1" outlineLevel="2">
      <c r="D139" s="1560" t="s">
        <v>2252</v>
      </c>
      <c r="E139" s="1535" t="s">
        <v>3936</v>
      </c>
      <c r="F139" s="1538"/>
    </row>
    <row r="140" spans="2:6" s="1535" customFormat="1" outlineLevel="2">
      <c r="D140" s="1560"/>
      <c r="F140" s="1561">
        <v>40802</v>
      </c>
    </row>
    <row r="141" spans="2:6" s="1535" customFormat="1" outlineLevel="2">
      <c r="D141" s="1539"/>
      <c r="F141" s="1538"/>
    </row>
    <row r="142" spans="2:6" s="1535" customFormat="1" outlineLevel="2">
      <c r="B142" s="1536" t="s">
        <v>818</v>
      </c>
      <c r="D142" s="1537">
        <v>40802</v>
      </c>
      <c r="F142" s="1538"/>
    </row>
    <row r="143" spans="2:6" s="1535" customFormat="1" outlineLevel="1">
      <c r="B143" s="1536"/>
      <c r="C143" s="1535" t="s">
        <v>1276</v>
      </c>
      <c r="D143" s="1537"/>
      <c r="F143" s="1538"/>
    </row>
    <row r="144" spans="2:6" s="1535" customFormat="1" outlineLevel="2">
      <c r="B144" s="1536"/>
      <c r="C144" s="1535" t="s">
        <v>1656</v>
      </c>
      <c r="D144" s="1537"/>
      <c r="F144" s="1538"/>
    </row>
    <row r="145" spans="2:7" s="1535" customFormat="1" outlineLevel="2">
      <c r="D145" s="1539"/>
      <c r="F145" s="1538"/>
    </row>
    <row r="146" spans="2:7" s="1535" customFormat="1" outlineLevel="1">
      <c r="D146" s="1539"/>
      <c r="F146" s="1538"/>
    </row>
    <row r="147" spans="2:7" s="1535" customFormat="1" outlineLevel="2">
      <c r="B147" s="1536" t="s">
        <v>3341</v>
      </c>
      <c r="D147" s="1537">
        <v>40802</v>
      </c>
      <c r="F147" s="1538"/>
    </row>
    <row r="148" spans="2:7" s="1535" customFormat="1" outlineLevel="2">
      <c r="B148" s="1536"/>
      <c r="C148" s="1535" t="s">
        <v>2973</v>
      </c>
      <c r="D148" s="1537"/>
      <c r="F148" s="1538"/>
    </row>
    <row r="149" spans="2:7" s="1535" customFormat="1" outlineLevel="2">
      <c r="B149" s="1536"/>
      <c r="D149" s="1537"/>
      <c r="F149" s="1538"/>
    </row>
    <row r="150" spans="2:7" s="1535" customFormat="1" outlineLevel="2">
      <c r="D150" s="1539"/>
      <c r="F150" s="1538"/>
    </row>
    <row r="151" spans="2:7" s="1535" customFormat="1" outlineLevel="2">
      <c r="B151" s="1536"/>
      <c r="D151" s="1537"/>
      <c r="F151" s="1538"/>
    </row>
    <row r="152" spans="2:7" s="1535" customFormat="1" outlineLevel="1">
      <c r="D152" s="1539"/>
      <c r="F152" s="1538"/>
    </row>
    <row r="153" spans="2:7" s="1535" customFormat="1" outlineLevel="2">
      <c r="D153" s="1539"/>
      <c r="F153" s="1538"/>
    </row>
    <row r="154" spans="2:7" s="1535" customFormat="1" outlineLevel="2">
      <c r="B154" s="1535" t="s">
        <v>3742</v>
      </c>
    </row>
    <row r="155" spans="2:7" s="1535" customFormat="1" outlineLevel="2">
      <c r="B155" s="1539" t="s">
        <v>762</v>
      </c>
      <c r="C155" s="1539" t="s">
        <v>3743</v>
      </c>
      <c r="D155" s="1563" t="s">
        <v>3744</v>
      </c>
      <c r="E155" s="1539" t="s">
        <v>263</v>
      </c>
      <c r="F155" s="1539"/>
      <c r="G155" s="1539"/>
    </row>
    <row r="156" spans="2:7" s="1535" customFormat="1" outlineLevel="1">
      <c r="B156" s="1564">
        <v>40785</v>
      </c>
      <c r="C156" s="1539" t="s">
        <v>55</v>
      </c>
      <c r="D156" s="1563" t="s">
        <v>56</v>
      </c>
      <c r="E156" s="1565">
        <v>25</v>
      </c>
      <c r="F156" s="1538"/>
    </row>
    <row r="157" spans="2:7" s="1535" customFormat="1" outlineLevel="2">
      <c r="B157" s="1564">
        <v>40785</v>
      </c>
      <c r="C157" s="1539" t="s">
        <v>3030</v>
      </c>
      <c r="D157" s="1563" t="s">
        <v>56</v>
      </c>
      <c r="E157" s="1565">
        <v>25</v>
      </c>
      <c r="F157" s="1538"/>
    </row>
    <row r="158" spans="2:7" s="1535" customFormat="1" outlineLevel="2">
      <c r="B158" s="1566">
        <v>40786</v>
      </c>
      <c r="C158" s="1539" t="s">
        <v>4217</v>
      </c>
      <c r="D158" s="1563" t="s">
        <v>56</v>
      </c>
      <c r="E158" s="1565">
        <v>12.5</v>
      </c>
      <c r="F158" s="1538"/>
    </row>
    <row r="159" spans="2:7" s="1535" customFormat="1" outlineLevel="2">
      <c r="B159" s="1566">
        <v>40786</v>
      </c>
      <c r="C159" s="1539" t="s">
        <v>3067</v>
      </c>
      <c r="D159" s="1563" t="s">
        <v>56</v>
      </c>
      <c r="E159" s="1565">
        <v>12.5</v>
      </c>
      <c r="F159" s="1538"/>
    </row>
    <row r="160" spans="2:7" s="1535" customFormat="1" outlineLevel="1">
      <c r="B160" s="1566"/>
      <c r="C160" s="1539"/>
      <c r="D160" s="1567" t="s">
        <v>264</v>
      </c>
      <c r="E160" s="1568">
        <f>SUBTOTAL(9,E156:E159)</f>
        <v>75</v>
      </c>
      <c r="F160" s="1569" t="s">
        <v>448</v>
      </c>
    </row>
    <row r="161" spans="2:6" s="1535" customFormat="1" outlineLevel="2">
      <c r="B161" s="1564">
        <v>40785</v>
      </c>
      <c r="C161" s="1539" t="s">
        <v>3745</v>
      </c>
      <c r="D161" s="1563" t="s">
        <v>3746</v>
      </c>
      <c r="E161" s="1565">
        <v>25</v>
      </c>
      <c r="F161" s="1570"/>
    </row>
    <row r="162" spans="2:6" s="1535" customFormat="1" outlineLevel="2">
      <c r="B162" s="1564">
        <v>40785</v>
      </c>
      <c r="C162" s="1539" t="s">
        <v>1956</v>
      </c>
      <c r="D162" s="1563" t="s">
        <v>3746</v>
      </c>
      <c r="E162" s="1565">
        <v>25</v>
      </c>
      <c r="F162" s="1570"/>
    </row>
    <row r="163" spans="2:6" s="1535" customFormat="1" outlineLevel="2">
      <c r="B163" s="1566">
        <v>40786</v>
      </c>
      <c r="C163" s="1539" t="s">
        <v>4215</v>
      </c>
      <c r="D163" s="1563" t="s">
        <v>3746</v>
      </c>
      <c r="E163" s="1565">
        <v>12.5</v>
      </c>
      <c r="F163" s="1570"/>
    </row>
    <row r="164" spans="2:6" s="1535" customFormat="1" outlineLevel="1">
      <c r="B164" s="1566">
        <v>40786</v>
      </c>
      <c r="C164" s="1539" t="s">
        <v>3037</v>
      </c>
      <c r="D164" s="1563" t="s">
        <v>3746</v>
      </c>
      <c r="E164" s="1565">
        <v>12.5</v>
      </c>
      <c r="F164" s="1570"/>
    </row>
    <row r="165" spans="2:6" s="1535" customFormat="1" outlineLevel="2">
      <c r="B165" s="1566"/>
      <c r="C165" s="1539"/>
      <c r="D165" s="1571" t="s">
        <v>3869</v>
      </c>
      <c r="E165" s="1568">
        <f>SUBTOTAL(9,E161:E164)</f>
        <v>75</v>
      </c>
      <c r="F165" s="1569" t="s">
        <v>1517</v>
      </c>
    </row>
    <row r="166" spans="2:6" s="1535" customFormat="1" outlineLevel="2">
      <c r="B166" s="1564">
        <v>40785</v>
      </c>
      <c r="C166" s="1539" t="s">
        <v>54</v>
      </c>
      <c r="D166" s="1563" t="s">
        <v>1137</v>
      </c>
      <c r="E166" s="1565">
        <v>25</v>
      </c>
      <c r="F166" s="1570"/>
    </row>
    <row r="167" spans="2:6" s="1535" customFormat="1" outlineLevel="2">
      <c r="B167" s="1564">
        <v>40785</v>
      </c>
      <c r="C167" s="1539" t="s">
        <v>1957</v>
      </c>
      <c r="D167" s="1563" t="s">
        <v>1137</v>
      </c>
      <c r="E167" s="1565">
        <v>25</v>
      </c>
      <c r="F167" s="1570"/>
    </row>
    <row r="168" spans="2:6" s="1535" customFormat="1" outlineLevel="2">
      <c r="B168" s="1566">
        <v>40786</v>
      </c>
      <c r="C168" s="1539" t="s">
        <v>4216</v>
      </c>
      <c r="D168" s="1563" t="s">
        <v>1137</v>
      </c>
      <c r="E168" s="1565">
        <v>12.5</v>
      </c>
      <c r="F168" s="1570"/>
    </row>
    <row r="169" spans="2:6" s="1535" customFormat="1" outlineLevel="1">
      <c r="B169" s="1566">
        <v>40786</v>
      </c>
      <c r="C169" s="1539" t="s">
        <v>3065</v>
      </c>
      <c r="D169" s="1563" t="s">
        <v>1137</v>
      </c>
      <c r="E169" s="1565">
        <v>12.5</v>
      </c>
      <c r="F169" s="1570"/>
    </row>
    <row r="170" spans="2:6" s="1535" customFormat="1" outlineLevel="2">
      <c r="B170" s="1566">
        <v>40786</v>
      </c>
      <c r="C170" s="1539" t="s">
        <v>262</v>
      </c>
      <c r="D170" s="1563" t="s">
        <v>1137</v>
      </c>
      <c r="E170" s="1565">
        <v>12.5</v>
      </c>
      <c r="F170" s="1570"/>
    </row>
    <row r="171" spans="2:6" s="1535" customFormat="1" outlineLevel="2">
      <c r="B171" s="1566"/>
      <c r="C171" s="1539"/>
      <c r="D171" s="1571" t="s">
        <v>3870</v>
      </c>
      <c r="E171" s="1568">
        <f>SUBTOTAL(9,E166:E170)</f>
        <v>87.5</v>
      </c>
      <c r="F171" s="1569" t="s">
        <v>450</v>
      </c>
    </row>
    <row r="172" spans="2:6" s="1535" customFormat="1" outlineLevel="1">
      <c r="B172" s="1564">
        <v>40785</v>
      </c>
      <c r="C172" s="1539" t="s">
        <v>1526</v>
      </c>
      <c r="D172" s="1563" t="s">
        <v>1527</v>
      </c>
      <c r="E172" s="1565">
        <v>25</v>
      </c>
      <c r="F172" s="1570"/>
    </row>
    <row r="173" spans="2:6" s="1535" customFormat="1" outlineLevel="2">
      <c r="B173" s="1566">
        <v>40786</v>
      </c>
      <c r="C173" s="1539" t="s">
        <v>982</v>
      </c>
      <c r="D173" s="1563" t="s">
        <v>1527</v>
      </c>
      <c r="E173" s="1565">
        <v>12.5</v>
      </c>
      <c r="F173" s="1570"/>
    </row>
    <row r="174" spans="2:6" s="1535" customFormat="1" outlineLevel="2">
      <c r="B174" s="1566"/>
      <c r="C174" s="1539"/>
      <c r="D174" s="1571" t="s">
        <v>3871</v>
      </c>
      <c r="E174" s="1568">
        <f>SUBTOTAL(9,E172:E173)</f>
        <v>37.5</v>
      </c>
      <c r="F174" s="1569" t="s">
        <v>449</v>
      </c>
    </row>
    <row r="175" spans="2:6" s="1535" customFormat="1" outlineLevel="2">
      <c r="B175" s="1564">
        <v>40785</v>
      </c>
      <c r="C175" s="1539" t="s">
        <v>2441</v>
      </c>
      <c r="D175" s="1563" t="s">
        <v>2442</v>
      </c>
      <c r="E175" s="1565">
        <v>25</v>
      </c>
      <c r="F175" s="1570"/>
    </row>
    <row r="176" spans="2:6" s="1535" customFormat="1" outlineLevel="1">
      <c r="B176" s="1564">
        <v>40785</v>
      </c>
      <c r="C176" s="1539" t="s">
        <v>3031</v>
      </c>
      <c r="D176" s="1563" t="s">
        <v>2442</v>
      </c>
      <c r="E176" s="1565">
        <v>25</v>
      </c>
      <c r="F176" s="1570"/>
    </row>
    <row r="177" spans="2:7" s="1535" customFormat="1" outlineLevel="2">
      <c r="B177" s="1566">
        <v>40786</v>
      </c>
      <c r="C177" s="1539" t="s">
        <v>4458</v>
      </c>
      <c r="D177" s="1563" t="s">
        <v>2442</v>
      </c>
      <c r="E177" s="1565">
        <v>12.5</v>
      </c>
      <c r="F177" s="1570"/>
    </row>
    <row r="178" spans="2:7" s="1535" customFormat="1" outlineLevel="2">
      <c r="B178" s="1566">
        <v>40786</v>
      </c>
      <c r="C178" s="1539" t="s">
        <v>3038</v>
      </c>
      <c r="D178" s="1563" t="s">
        <v>2442</v>
      </c>
      <c r="E178" s="1565">
        <v>12.5</v>
      </c>
      <c r="F178" s="1570"/>
    </row>
    <row r="179" spans="2:7" s="1535" customFormat="1" outlineLevel="2">
      <c r="B179" s="1566">
        <v>40786</v>
      </c>
      <c r="C179" s="1539" t="s">
        <v>1514</v>
      </c>
      <c r="D179" s="1563" t="s">
        <v>2442</v>
      </c>
      <c r="E179" s="1565">
        <v>12.5</v>
      </c>
      <c r="F179" s="1570"/>
    </row>
    <row r="180" spans="2:7" s="1535" customFormat="1" outlineLevel="1">
      <c r="B180" s="1566"/>
      <c r="C180" s="1539"/>
      <c r="D180" s="1571" t="s">
        <v>3872</v>
      </c>
      <c r="E180" s="1568">
        <f>SUBTOTAL(9,E175:E179)</f>
        <v>87.5</v>
      </c>
      <c r="F180" s="1569" t="s">
        <v>451</v>
      </c>
    </row>
    <row r="181" spans="2:7" s="1535" customFormat="1">
      <c r="B181" s="1564">
        <v>40785</v>
      </c>
      <c r="C181" s="1539" t="s">
        <v>1912</v>
      </c>
      <c r="D181" s="1563" t="s">
        <v>1913</v>
      </c>
      <c r="E181" s="1565">
        <v>25</v>
      </c>
      <c r="F181" s="1572"/>
      <c r="G181" s="1563"/>
    </row>
    <row r="182" spans="2:7" s="1535" customFormat="1">
      <c r="B182" s="1566">
        <v>40786</v>
      </c>
      <c r="C182" s="1539" t="s">
        <v>981</v>
      </c>
      <c r="D182" s="1563" t="s">
        <v>1913</v>
      </c>
      <c r="E182" s="1565">
        <v>12.5</v>
      </c>
      <c r="F182" s="1572"/>
      <c r="G182" s="1563"/>
    </row>
    <row r="183" spans="2:7" s="1535" customFormat="1">
      <c r="B183" s="1566">
        <v>40786</v>
      </c>
      <c r="C183" s="1539" t="s">
        <v>3066</v>
      </c>
      <c r="D183" s="1563" t="s">
        <v>1913</v>
      </c>
      <c r="E183" s="1565">
        <v>12.5</v>
      </c>
      <c r="F183" s="1572"/>
      <c r="G183" s="1563"/>
    </row>
    <row r="184" spans="2:7" s="1535" customFormat="1">
      <c r="B184" s="1566"/>
      <c r="C184" s="1539"/>
      <c r="D184" s="1571" t="s">
        <v>3882</v>
      </c>
      <c r="E184" s="1568">
        <f>SUBTOTAL(9,E181:E183)</f>
        <v>50</v>
      </c>
      <c r="F184" s="1573" t="s">
        <v>452</v>
      </c>
      <c r="G184" s="1563"/>
    </row>
    <row r="185" spans="2:7" s="1535" customFormat="1">
      <c r="B185" s="1564">
        <v>40785</v>
      </c>
      <c r="C185" s="1539" t="s">
        <v>2058</v>
      </c>
      <c r="D185" s="1563" t="s">
        <v>706</v>
      </c>
      <c r="E185" s="1565">
        <v>25</v>
      </c>
      <c r="F185" s="1572"/>
      <c r="G185" s="1563"/>
    </row>
    <row r="186" spans="2:7" s="1535" customFormat="1">
      <c r="B186" s="1564">
        <v>40785</v>
      </c>
      <c r="C186" s="1539" t="s">
        <v>3033</v>
      </c>
      <c r="D186" s="1563" t="s">
        <v>706</v>
      </c>
      <c r="E186" s="1565">
        <v>25</v>
      </c>
      <c r="F186" s="1572"/>
      <c r="G186" s="1563"/>
    </row>
    <row r="187" spans="2:7" s="1535" customFormat="1">
      <c r="B187" s="1566">
        <v>40786</v>
      </c>
      <c r="C187" s="1539" t="s">
        <v>977</v>
      </c>
      <c r="D187" s="1563" t="s">
        <v>706</v>
      </c>
      <c r="E187" s="1565">
        <v>12.5</v>
      </c>
      <c r="F187" s="1572"/>
      <c r="G187" s="1563"/>
    </row>
    <row r="188" spans="2:7" s="1535" customFormat="1">
      <c r="B188" s="1566"/>
      <c r="C188" s="1539"/>
      <c r="D188" s="1571" t="s">
        <v>3883</v>
      </c>
      <c r="E188" s="1568">
        <f>SUBTOTAL(9,E185:E187)</f>
        <v>62.5</v>
      </c>
      <c r="F188" s="1573" t="s">
        <v>1358</v>
      </c>
      <c r="G188" s="1563"/>
    </row>
    <row r="189" spans="2:7" s="1535" customFormat="1">
      <c r="B189" s="1564">
        <v>40785</v>
      </c>
      <c r="C189" s="1539" t="s">
        <v>166</v>
      </c>
      <c r="D189" s="1563" t="s">
        <v>167</v>
      </c>
      <c r="E189" s="1565">
        <v>25</v>
      </c>
      <c r="F189" s="1572"/>
      <c r="G189" s="1563"/>
    </row>
    <row r="190" spans="2:7" s="1535" customFormat="1">
      <c r="B190" s="1566">
        <v>40786</v>
      </c>
      <c r="C190" s="1539" t="s">
        <v>3467</v>
      </c>
      <c r="D190" s="1563" t="s">
        <v>167</v>
      </c>
      <c r="E190" s="1565">
        <v>12.5</v>
      </c>
      <c r="F190" s="1572"/>
      <c r="G190" s="1563"/>
    </row>
    <row r="191" spans="2:7" s="1535" customFormat="1">
      <c r="B191" s="1566">
        <v>40786</v>
      </c>
      <c r="C191" s="1539" t="s">
        <v>1513</v>
      </c>
      <c r="D191" s="1563" t="s">
        <v>167</v>
      </c>
      <c r="E191" s="1565">
        <v>12.5</v>
      </c>
      <c r="F191" s="1572"/>
      <c r="G191" s="1563"/>
    </row>
    <row r="192" spans="2:7" s="1535" customFormat="1">
      <c r="B192" s="1566"/>
      <c r="C192" s="1539"/>
      <c r="D192" s="1571" t="s">
        <v>842</v>
      </c>
      <c r="E192" s="1568">
        <f>SUBTOTAL(9,E189:E191)</f>
        <v>50</v>
      </c>
      <c r="F192" s="1573" t="s">
        <v>4175</v>
      </c>
      <c r="G192" s="1563"/>
    </row>
    <row r="193" spans="2:25" s="1535" customFormat="1">
      <c r="B193" s="1564">
        <v>40785</v>
      </c>
      <c r="C193" s="1539" t="s">
        <v>2443</v>
      </c>
      <c r="D193" s="1563" t="s">
        <v>4068</v>
      </c>
      <c r="E193" s="1565">
        <v>25</v>
      </c>
      <c r="F193" s="1572"/>
      <c r="G193" s="1563"/>
      <c r="V193"/>
      <c r="W193"/>
      <c r="X193"/>
      <c r="Y193"/>
    </row>
    <row r="194" spans="2:25" s="1535" customFormat="1">
      <c r="B194" s="1564">
        <v>40785</v>
      </c>
      <c r="C194" s="1539" t="s">
        <v>3032</v>
      </c>
      <c r="D194" s="1563" t="s">
        <v>4068</v>
      </c>
      <c r="E194" s="1565">
        <v>25</v>
      </c>
      <c r="F194" s="1572"/>
      <c r="G194" s="1563"/>
    </row>
    <row r="195" spans="2:25" s="1535" customFormat="1">
      <c r="B195" s="1566">
        <v>40786</v>
      </c>
      <c r="C195" s="1539" t="s">
        <v>4459</v>
      </c>
      <c r="D195" s="1563" t="s">
        <v>4068</v>
      </c>
      <c r="E195" s="1565">
        <v>12.5</v>
      </c>
      <c r="F195" s="1572"/>
      <c r="G195" s="1563"/>
    </row>
    <row r="196" spans="2:25" s="1535" customFormat="1">
      <c r="B196" s="1566">
        <v>40786</v>
      </c>
      <c r="C196" s="1539" t="s">
        <v>1512</v>
      </c>
      <c r="D196" s="1563" t="s">
        <v>4068</v>
      </c>
      <c r="E196" s="1565">
        <v>12.5</v>
      </c>
      <c r="F196" s="1572"/>
      <c r="G196" s="1563"/>
    </row>
    <row r="197" spans="2:25" s="1535" customFormat="1">
      <c r="B197" s="1566"/>
      <c r="C197" s="1539"/>
      <c r="D197" s="1571" t="s">
        <v>843</v>
      </c>
      <c r="E197" s="1568">
        <f>SUBTOTAL(9,E193:E196)</f>
        <v>75</v>
      </c>
      <c r="F197" s="1573" t="s">
        <v>2960</v>
      </c>
      <c r="G197" s="1563"/>
    </row>
    <row r="198" spans="2:25" s="1535" customFormat="1">
      <c r="B198" s="1564">
        <v>40785</v>
      </c>
      <c r="C198" s="1539" t="s">
        <v>1347</v>
      </c>
      <c r="D198" s="1563" t="s">
        <v>1379</v>
      </c>
      <c r="E198" s="1565">
        <v>25</v>
      </c>
      <c r="F198" s="1572"/>
      <c r="G198" s="1563"/>
    </row>
    <row r="199" spans="2:25" s="1535" customFormat="1">
      <c r="B199" s="1566">
        <v>40786</v>
      </c>
      <c r="C199" s="1539" t="s">
        <v>2850</v>
      </c>
      <c r="D199" s="1563" t="s">
        <v>1379</v>
      </c>
      <c r="E199" s="1565">
        <v>12.5</v>
      </c>
      <c r="F199" s="1572"/>
      <c r="G199" s="1563"/>
    </row>
    <row r="200" spans="2:25" s="1535" customFormat="1">
      <c r="B200" s="1566"/>
      <c r="C200" s="1539"/>
      <c r="D200" s="1571" t="s">
        <v>844</v>
      </c>
      <c r="E200" s="1568">
        <f>SUBTOTAL(9,E198:E199)</f>
        <v>37.5</v>
      </c>
      <c r="F200" s="1573" t="s">
        <v>576</v>
      </c>
      <c r="G200" s="1563"/>
    </row>
    <row r="201" spans="2:25" s="1535" customFormat="1">
      <c r="B201" s="1564">
        <v>40785</v>
      </c>
      <c r="C201" s="1539" t="s">
        <v>1345</v>
      </c>
      <c r="D201" s="1563" t="s">
        <v>1346</v>
      </c>
      <c r="E201" s="1565">
        <v>25</v>
      </c>
      <c r="F201" s="1572"/>
      <c r="G201" s="1563"/>
    </row>
    <row r="202" spans="2:25" s="1535" customFormat="1">
      <c r="B202" s="1564">
        <v>40785</v>
      </c>
      <c r="C202" s="1539" t="s">
        <v>3814</v>
      </c>
      <c r="D202" s="1563" t="s">
        <v>1346</v>
      </c>
      <c r="E202" s="1565">
        <v>25</v>
      </c>
      <c r="F202" s="1572"/>
      <c r="G202" s="1563"/>
    </row>
    <row r="203" spans="2:25" s="1535" customFormat="1">
      <c r="B203" s="1566">
        <v>40786</v>
      </c>
      <c r="C203" s="1539" t="s">
        <v>261</v>
      </c>
      <c r="D203" s="1563" t="s">
        <v>1346</v>
      </c>
      <c r="E203" s="1565">
        <v>12.5</v>
      </c>
      <c r="F203" s="1572"/>
      <c r="G203" s="1563"/>
    </row>
    <row r="204" spans="2:25" s="1535" customFormat="1">
      <c r="B204" s="1566"/>
      <c r="C204" s="1539"/>
      <c r="D204" s="1571" t="s">
        <v>446</v>
      </c>
      <c r="E204" s="1568">
        <f>SUBTOTAL(9,E201:E203)</f>
        <v>62.5</v>
      </c>
      <c r="F204" s="1573" t="s">
        <v>4446</v>
      </c>
      <c r="G204" s="1563"/>
    </row>
    <row r="205" spans="2:25" s="1535" customFormat="1">
      <c r="B205" s="1564">
        <v>40785</v>
      </c>
      <c r="C205" s="1539" t="s">
        <v>2504</v>
      </c>
      <c r="D205" s="1563" t="s">
        <v>2505</v>
      </c>
      <c r="E205" s="1565">
        <v>25</v>
      </c>
      <c r="F205" s="1572"/>
      <c r="G205" s="1563"/>
    </row>
    <row r="206" spans="2:25" s="1535" customFormat="1">
      <c r="B206" s="1566">
        <v>40786</v>
      </c>
      <c r="C206" s="1539" t="s">
        <v>983</v>
      </c>
      <c r="D206" s="1563" t="s">
        <v>2505</v>
      </c>
      <c r="E206" s="1565">
        <v>12.5</v>
      </c>
      <c r="F206" s="1572"/>
      <c r="G206" s="1563"/>
    </row>
    <row r="207" spans="2:25" s="1535" customFormat="1">
      <c r="B207" s="1566">
        <v>40786</v>
      </c>
      <c r="C207" s="1539" t="s">
        <v>1511</v>
      </c>
      <c r="D207" s="1563" t="s">
        <v>2505</v>
      </c>
      <c r="E207" s="1565">
        <v>12.5</v>
      </c>
      <c r="F207" s="1572"/>
      <c r="G207" s="1563"/>
    </row>
    <row r="208" spans="2:25" s="1535" customFormat="1">
      <c r="B208" s="1566"/>
      <c r="C208" s="1539"/>
      <c r="D208" s="1571" t="s">
        <v>447</v>
      </c>
      <c r="E208" s="1568">
        <f>SUBTOTAL(9,E205:E207)</f>
        <v>50</v>
      </c>
      <c r="F208" s="1573" t="s">
        <v>3537</v>
      </c>
      <c r="G208" s="1563"/>
    </row>
    <row r="209" spans="2:25" s="1535" customFormat="1">
      <c r="B209" s="1566"/>
      <c r="C209" s="1539"/>
      <c r="D209" s="1563" t="s">
        <v>3261</v>
      </c>
      <c r="E209" s="1565">
        <f>SUBTOTAL(9,E156:E207)</f>
        <v>750</v>
      </c>
      <c r="F209" s="1572"/>
      <c r="G209" s="1563"/>
    </row>
    <row r="210" spans="2:25" s="1535" customFormat="1">
      <c r="B210" s="1566"/>
      <c r="C210" s="1539"/>
      <c r="D210" s="1563"/>
      <c r="E210" s="1539"/>
      <c r="F210" s="1539"/>
      <c r="G210" s="1563"/>
    </row>
    <row r="211" spans="2:25" s="1535" customFormat="1">
      <c r="B211" s="1566"/>
      <c r="C211" s="1539"/>
      <c r="D211" s="1563"/>
      <c r="E211" s="1539"/>
      <c r="F211" s="1539"/>
      <c r="G211" s="1563"/>
    </row>
    <row r="212" spans="2:25">
      <c r="B212" s="1535"/>
      <c r="C212" s="1535"/>
      <c r="D212" s="1539"/>
      <c r="E212" s="1535"/>
      <c r="F212" s="1538"/>
      <c r="G212" s="1535"/>
      <c r="V212" s="1535"/>
      <c r="W212" s="1535"/>
      <c r="X212" s="1535"/>
      <c r="Y212" s="1535"/>
    </row>
    <row r="213" spans="2:25">
      <c r="B213" s="1536" t="s">
        <v>818</v>
      </c>
      <c r="C213" s="1535"/>
      <c r="D213" s="1537">
        <v>40788</v>
      </c>
      <c r="E213" s="1535"/>
      <c r="F213" s="1538"/>
      <c r="G213" s="1535"/>
    </row>
    <row r="214" spans="2:25">
      <c r="B214" s="1535"/>
      <c r="C214" s="1535"/>
      <c r="D214" s="1539"/>
      <c r="E214" s="1535"/>
      <c r="F214" s="1538"/>
      <c r="G214" s="1535"/>
      <c r="H214" s="1059" t="s">
        <v>3592</v>
      </c>
      <c r="I214" s="1059" t="s">
        <v>4122</v>
      </c>
      <c r="J214" s="1059"/>
      <c r="K214" s="1059" t="s">
        <v>4781</v>
      </c>
      <c r="L214" s="1059" t="s">
        <v>4332</v>
      </c>
      <c r="M214" s="1059" t="s">
        <v>524</v>
      </c>
      <c r="N214" s="1059" t="s">
        <v>2617</v>
      </c>
      <c r="O214" s="1059" t="s">
        <v>117</v>
      </c>
      <c r="P214" s="151" t="s">
        <v>707</v>
      </c>
      <c r="Q214" s="151"/>
    </row>
    <row r="215" spans="2:25">
      <c r="B215" s="1535" t="s">
        <v>1085</v>
      </c>
      <c r="C215" s="1535"/>
      <c r="D215" s="1539"/>
      <c r="E215" s="1535"/>
      <c r="F215" s="1538"/>
      <c r="G215" s="1535"/>
      <c r="K215" s="8">
        <v>7</v>
      </c>
      <c r="L215">
        <v>522</v>
      </c>
    </row>
    <row r="216" spans="2:25">
      <c r="B216" s="1535"/>
      <c r="C216" s="1535"/>
      <c r="D216" s="1539"/>
      <c r="E216" s="1535"/>
      <c r="F216" s="1538"/>
      <c r="G216" s="1535"/>
      <c r="H216" s="1528">
        <v>13</v>
      </c>
      <c r="I216" s="1527">
        <f>+H216*G244</f>
        <v>3770</v>
      </c>
      <c r="J216" s="1058"/>
      <c r="K216" s="1058">
        <v>13</v>
      </c>
      <c r="L216" s="1058">
        <v>290</v>
      </c>
      <c r="M216" s="1058">
        <v>12</v>
      </c>
      <c r="N216" s="1058">
        <f>+M216+L216</f>
        <v>302</v>
      </c>
      <c r="O216" s="1526">
        <v>40826</v>
      </c>
      <c r="P216" s="1525">
        <v>40776</v>
      </c>
      <c r="Q216" s="1525"/>
    </row>
    <row r="217" spans="2:25">
      <c r="B217" s="1536" t="s">
        <v>3341</v>
      </c>
      <c r="C217" s="1535"/>
      <c r="D217" s="1537">
        <v>40788</v>
      </c>
      <c r="E217" s="1535"/>
      <c r="F217" s="1538"/>
      <c r="G217" s="1535"/>
      <c r="H217" s="1522"/>
      <c r="I217" s="1527">
        <f>+I216-F244</f>
        <v>270</v>
      </c>
      <c r="J217" s="1540">
        <f>+I217/F244</f>
        <v>7.7142857142857138E-2</v>
      </c>
      <c r="K217" s="8">
        <v>19</v>
      </c>
      <c r="L217">
        <v>204</v>
      </c>
    </row>
    <row r="218" spans="2:25">
      <c r="B218" s="1535"/>
      <c r="C218" s="1535"/>
      <c r="D218" s="1539"/>
      <c r="E218" s="1535"/>
      <c r="F218" s="1538"/>
      <c r="G218" s="1535"/>
      <c r="K218" s="8">
        <v>25</v>
      </c>
      <c r="L218">
        <v>160</v>
      </c>
    </row>
    <row r="219" spans="2:25">
      <c r="B219" s="1535" t="s">
        <v>3884</v>
      </c>
      <c r="C219" s="1535"/>
      <c r="D219" s="1539"/>
      <c r="E219" s="1535"/>
      <c r="F219" s="1538"/>
      <c r="G219" s="1535"/>
      <c r="K219" s="8">
        <v>35</v>
      </c>
      <c r="L219">
        <v>120</v>
      </c>
    </row>
    <row r="220" spans="2:25">
      <c r="B220" s="1535"/>
      <c r="C220" s="1535"/>
      <c r="D220" s="1539"/>
      <c r="E220" s="1535"/>
      <c r="F220" s="1538"/>
      <c r="G220" s="1535"/>
      <c r="H220" s="1523">
        <v>13</v>
      </c>
      <c r="I220" s="68">
        <f>+H220*G248</f>
        <v>5616</v>
      </c>
      <c r="J220" s="68"/>
      <c r="K220" s="8"/>
    </row>
    <row r="221" spans="2:25">
      <c r="B221" s="1536" t="s">
        <v>3341</v>
      </c>
      <c r="C221" s="1535"/>
      <c r="D221" s="1537">
        <v>40787</v>
      </c>
      <c r="E221" s="1535"/>
      <c r="F221" s="1538"/>
      <c r="G221" s="1535"/>
      <c r="H221" s="1522"/>
      <c r="I221" s="68">
        <f>+I220-F248</f>
        <v>616</v>
      </c>
      <c r="J221" s="68"/>
    </row>
    <row r="222" spans="2:25">
      <c r="B222" s="1535"/>
      <c r="C222" s="1535"/>
      <c r="D222" s="1539"/>
      <c r="E222" s="1535"/>
      <c r="F222" s="1538"/>
      <c r="G222" s="1535"/>
      <c r="H222" s="1522"/>
      <c r="I222" s="68"/>
      <c r="J222" s="68"/>
    </row>
    <row r="223" spans="2:25">
      <c r="B223" s="1535" t="s">
        <v>5037</v>
      </c>
      <c r="C223" s="1535"/>
      <c r="D223" s="1539"/>
      <c r="E223" s="1535"/>
      <c r="F223" s="1538"/>
      <c r="G223" s="1535"/>
      <c r="H223" s="1523">
        <v>13</v>
      </c>
      <c r="I223" s="68">
        <f>+H223*G251</f>
        <v>3931.2</v>
      </c>
      <c r="J223" s="68"/>
    </row>
    <row r="224" spans="2:25">
      <c r="B224" s="1535" t="s">
        <v>3432</v>
      </c>
      <c r="C224" s="1535"/>
      <c r="D224" s="1539"/>
      <c r="E224" s="1535"/>
      <c r="F224" s="1538"/>
      <c r="G224" s="1535"/>
      <c r="H224" s="1523"/>
      <c r="I224" s="68">
        <f>+I223-F251</f>
        <v>431.19999999999982</v>
      </c>
      <c r="J224" s="68"/>
    </row>
    <row r="225" spans="2:10">
      <c r="B225" s="1535"/>
      <c r="C225" s="1535"/>
      <c r="D225" s="1539"/>
      <c r="E225" s="1535"/>
      <c r="F225" s="1538"/>
      <c r="G225" s="1535"/>
      <c r="H225" s="1523"/>
      <c r="I225" s="68"/>
      <c r="J225" s="68"/>
    </row>
    <row r="226" spans="2:10">
      <c r="B226" s="1535" t="s">
        <v>4723</v>
      </c>
      <c r="C226" s="1535"/>
      <c r="D226" s="1539"/>
      <c r="E226" s="1535"/>
      <c r="F226" s="1538"/>
      <c r="G226" s="1535"/>
      <c r="H226" s="1523">
        <v>12</v>
      </c>
      <c r="I226" s="68">
        <v>315.55</v>
      </c>
      <c r="J226" s="68">
        <f>+I226*H226</f>
        <v>3786.6000000000004</v>
      </c>
    </row>
    <row r="227" spans="2:10">
      <c r="B227" s="1535"/>
      <c r="C227" s="1535"/>
      <c r="D227" s="1539"/>
      <c r="E227" s="1535"/>
      <c r="F227" s="1538"/>
      <c r="G227" s="1535"/>
      <c r="H227" s="1523"/>
      <c r="I227" s="68"/>
      <c r="J227" s="68">
        <f>+J226-G254</f>
        <v>286.60000000000036</v>
      </c>
    </row>
    <row r="228" spans="2:10">
      <c r="B228" s="1535" t="s">
        <v>3409</v>
      </c>
      <c r="C228" s="1535"/>
      <c r="D228" s="1539"/>
      <c r="E228" s="1535"/>
      <c r="F228" s="1538"/>
      <c r="G228" s="1535"/>
      <c r="H228" s="1529"/>
    </row>
    <row r="229" spans="2:10">
      <c r="B229" s="1535"/>
      <c r="C229" s="1535"/>
      <c r="D229" s="1539"/>
      <c r="E229" s="1535"/>
      <c r="F229" s="1538"/>
      <c r="G229" s="1535"/>
      <c r="H229" s="1523">
        <v>12</v>
      </c>
      <c r="I229" s="68">
        <v>347.25</v>
      </c>
      <c r="J229" s="68">
        <f>+I229*H229</f>
        <v>4167</v>
      </c>
    </row>
    <row r="230" spans="2:10">
      <c r="B230" s="1536" t="s">
        <v>3341</v>
      </c>
      <c r="C230" s="1535"/>
      <c r="D230" s="1537">
        <v>40781</v>
      </c>
      <c r="E230" s="1535"/>
      <c r="F230" s="1538"/>
      <c r="G230" s="1535"/>
      <c r="H230" s="1523"/>
      <c r="I230" s="68"/>
      <c r="J230" s="68">
        <f>+J229-G257</f>
        <v>667</v>
      </c>
    </row>
    <row r="231" spans="2:10">
      <c r="B231" s="1535"/>
      <c r="C231" s="1535"/>
      <c r="D231" s="1539"/>
      <c r="E231" s="1535"/>
      <c r="F231" s="1538"/>
      <c r="G231" s="1535"/>
      <c r="H231" s="1522"/>
      <c r="I231" s="68"/>
      <c r="J231" s="68"/>
    </row>
    <row r="232" spans="2:10">
      <c r="B232" s="1535" t="s">
        <v>726</v>
      </c>
      <c r="C232" s="1535"/>
      <c r="D232" s="1539"/>
      <c r="E232" s="1535"/>
      <c r="F232" s="1538"/>
      <c r="G232" s="1535"/>
      <c r="H232" s="1522"/>
      <c r="I232" s="68"/>
      <c r="J232" s="68"/>
    </row>
    <row r="233" spans="2:10">
      <c r="B233" s="1535" t="s">
        <v>3115</v>
      </c>
      <c r="C233" s="1535"/>
      <c r="D233" s="1539"/>
      <c r="E233" s="1535"/>
      <c r="F233" s="1538"/>
      <c r="G233" s="1535"/>
      <c r="H233" s="1522"/>
      <c r="I233" s="68"/>
      <c r="J233" s="68"/>
    </row>
    <row r="234" spans="2:10">
      <c r="B234" s="1535"/>
      <c r="C234" s="1535"/>
      <c r="D234" s="1539"/>
      <c r="E234" s="1535"/>
      <c r="F234" s="1538"/>
      <c r="G234" s="1535"/>
      <c r="H234" s="1522"/>
      <c r="I234" s="68"/>
      <c r="J234" s="68"/>
    </row>
    <row r="235" spans="2:10">
      <c r="B235" s="1536" t="s">
        <v>818</v>
      </c>
      <c r="C235" s="1535"/>
      <c r="D235" s="1537">
        <v>40781</v>
      </c>
      <c r="E235" s="1535"/>
      <c r="F235" s="1538"/>
      <c r="G235" s="1535"/>
      <c r="H235" s="1522"/>
      <c r="I235" s="68"/>
      <c r="J235" s="68"/>
    </row>
    <row r="236" spans="2:10">
      <c r="B236" s="1535"/>
      <c r="C236" s="1535"/>
      <c r="D236" s="1539"/>
      <c r="E236" s="1535"/>
      <c r="F236" s="1538"/>
      <c r="G236" s="1535"/>
    </row>
    <row r="237" spans="2:10">
      <c r="B237" s="1535" t="s">
        <v>3061</v>
      </c>
      <c r="C237" s="1535"/>
      <c r="D237" s="1539"/>
      <c r="E237" s="1535"/>
      <c r="F237" s="1538"/>
      <c r="G237" s="1535"/>
    </row>
    <row r="238" spans="2:10">
      <c r="B238" s="1536" t="s">
        <v>3170</v>
      </c>
      <c r="C238" s="1535"/>
      <c r="D238" s="1539"/>
      <c r="E238" s="1535"/>
      <c r="F238" s="1538"/>
      <c r="G238" s="1535"/>
    </row>
    <row r="239" spans="2:10">
      <c r="B239" s="1535"/>
      <c r="C239" s="1535"/>
      <c r="D239" s="1539"/>
      <c r="E239" s="1535"/>
      <c r="F239" s="1538"/>
      <c r="G239" s="1535"/>
    </row>
    <row r="242" spans="3:7">
      <c r="C242" s="1060" t="s">
        <v>1329</v>
      </c>
      <c r="D242" s="1059" t="s">
        <v>3171</v>
      </c>
      <c r="E242" s="1059" t="s">
        <v>2213</v>
      </c>
      <c r="F242" s="1531" t="s">
        <v>2214</v>
      </c>
      <c r="G242" s="1059" t="s">
        <v>1556</v>
      </c>
    </row>
    <row r="244" spans="3:7">
      <c r="C244" s="539" t="s">
        <v>4780</v>
      </c>
      <c r="D244" s="1532">
        <v>40779</v>
      </c>
      <c r="E244" s="1058" t="s">
        <v>115</v>
      </c>
      <c r="F244" s="1527">
        <v>3500</v>
      </c>
      <c r="G244" s="1530">
        <v>290</v>
      </c>
    </row>
    <row r="245" spans="3:7">
      <c r="E245" s="1533" t="s">
        <v>116</v>
      </c>
      <c r="F245" s="1534">
        <v>9.9000000000000008E-3</v>
      </c>
      <c r="G245" s="1522"/>
    </row>
    <row r="247" spans="3:7">
      <c r="D247" s="66"/>
    </row>
    <row r="248" spans="3:7">
      <c r="F248" s="71">
        <v>5000</v>
      </c>
      <c r="G248" s="1522">
        <v>432</v>
      </c>
    </row>
    <row r="249" spans="3:7">
      <c r="G249" s="1522"/>
    </row>
    <row r="250" spans="3:7">
      <c r="G250" s="1522"/>
    </row>
    <row r="251" spans="3:7">
      <c r="F251" s="71">
        <v>3500</v>
      </c>
      <c r="G251" s="1522">
        <f>+F251*G248/F248</f>
        <v>302.39999999999998</v>
      </c>
    </row>
    <row r="252" spans="3:7">
      <c r="G252" s="1522"/>
    </row>
    <row r="253" spans="3:7">
      <c r="G253" s="1522"/>
    </row>
    <row r="254" spans="3:7">
      <c r="F254" s="1524">
        <v>1.3299999999999999E-2</v>
      </c>
      <c r="G254" s="1522">
        <v>3500</v>
      </c>
    </row>
    <row r="255" spans="3:7">
      <c r="G255" s="1522"/>
    </row>
    <row r="256" spans="3:7">
      <c r="D256" s="8">
        <v>2350</v>
      </c>
    </row>
    <row r="257" spans="2:7">
      <c r="D257" s="8">
        <f>+D256*7</f>
        <v>16450</v>
      </c>
      <c r="F257" s="1524">
        <v>0.28499999999999998</v>
      </c>
      <c r="G257" s="1522">
        <v>3500</v>
      </c>
    </row>
    <row r="258" spans="2:7">
      <c r="C258">
        <f>+D258/7</f>
        <v>3428.5714285714284</v>
      </c>
      <c r="D258" s="8">
        <v>24000</v>
      </c>
      <c r="G258" s="1522"/>
    </row>
    <row r="259" spans="2:7">
      <c r="B259" s="2"/>
      <c r="D259" s="1513"/>
      <c r="F259" s="71">
        <v>2.2000000000000002</v>
      </c>
      <c r="G259" s="1522"/>
    </row>
    <row r="260" spans="2:7">
      <c r="B260" s="2"/>
      <c r="D260" s="1513"/>
      <c r="G260" s="1522"/>
    </row>
    <row r="261" spans="2:7">
      <c r="B261" s="2"/>
      <c r="D261" s="1513"/>
      <c r="G261" s="1522"/>
    </row>
    <row r="262" spans="2:7">
      <c r="B262" s="2"/>
      <c r="D262" s="1513"/>
      <c r="G262" s="1522"/>
    </row>
    <row r="263" spans="2:7">
      <c r="B263" s="2" t="s">
        <v>3341</v>
      </c>
      <c r="D263" s="1513">
        <v>40767</v>
      </c>
      <c r="G263" s="1522"/>
    </row>
    <row r="265" spans="2:7">
      <c r="B265" t="s">
        <v>1246</v>
      </c>
    </row>
    <row r="267" spans="2:7">
      <c r="B267" t="s">
        <v>4735</v>
      </c>
    </row>
    <row r="268" spans="2:7">
      <c r="B268" t="s">
        <v>4607</v>
      </c>
    </row>
    <row r="270" spans="2:7">
      <c r="B270" t="s">
        <v>4094</v>
      </c>
    </row>
    <row r="271" spans="2:7">
      <c r="B271" t="s">
        <v>316</v>
      </c>
    </row>
    <row r="272" spans="2:7">
      <c r="B272" t="s">
        <v>4673</v>
      </c>
    </row>
    <row r="274" spans="2:6">
      <c r="B274" t="s">
        <v>2961</v>
      </c>
    </row>
    <row r="275" spans="2:6">
      <c r="B275" t="s">
        <v>735</v>
      </c>
    </row>
    <row r="276" spans="2:6">
      <c r="B276" t="s">
        <v>2901</v>
      </c>
    </row>
    <row r="277" spans="2:6">
      <c r="B277" t="s">
        <v>2429</v>
      </c>
    </row>
    <row r="278" spans="2:6">
      <c r="B278" t="s">
        <v>2503</v>
      </c>
    </row>
    <row r="279" spans="2:6">
      <c r="B279" t="s">
        <v>2409</v>
      </c>
    </row>
    <row r="280" spans="2:6">
      <c r="B280" t="s">
        <v>3340</v>
      </c>
    </row>
    <row r="282" spans="2:6">
      <c r="B282" s="2" t="s">
        <v>818</v>
      </c>
      <c r="D282" s="1513">
        <v>40767</v>
      </c>
    </row>
    <row r="284" spans="2:6">
      <c r="B284" t="s">
        <v>2959</v>
      </c>
    </row>
    <row r="287" spans="2:6">
      <c r="D287"/>
      <c r="E287" t="s">
        <v>5030</v>
      </c>
      <c r="F287" t="s">
        <v>2406</v>
      </c>
    </row>
    <row r="288" spans="2:6">
      <c r="D288"/>
      <c r="E288" t="s">
        <v>2407</v>
      </c>
      <c r="F288" t="s">
        <v>2408</v>
      </c>
    </row>
    <row r="289" spans="2:8" ht="15">
      <c r="B289" s="1514" t="s">
        <v>4270</v>
      </c>
      <c r="C289" s="1515"/>
      <c r="D289" s="1516">
        <v>38869</v>
      </c>
      <c r="E289" s="1517">
        <v>21.5</v>
      </c>
      <c r="F289" s="1518">
        <v>24.071428571428573</v>
      </c>
    </row>
    <row r="290" spans="2:8" ht="15">
      <c r="B290" s="1514" t="s">
        <v>3815</v>
      </c>
      <c r="C290" s="1515"/>
      <c r="D290" s="1516">
        <v>40395</v>
      </c>
      <c r="E290" s="1517">
        <v>20</v>
      </c>
      <c r="F290" s="1518">
        <v>22.571428571428573</v>
      </c>
    </row>
    <row r="291" spans="2:8" ht="15">
      <c r="B291" s="1514" t="s">
        <v>3816</v>
      </c>
      <c r="C291" s="1515"/>
      <c r="D291" s="1516">
        <v>40514</v>
      </c>
      <c r="E291" s="1517">
        <v>20</v>
      </c>
      <c r="F291" s="1518">
        <v>22.571428571428573</v>
      </c>
    </row>
    <row r="296" spans="2:8" ht="15.75">
      <c r="C296" s="1707" t="s">
        <v>3380</v>
      </c>
      <c r="D296" s="1090"/>
      <c r="E296" s="83"/>
      <c r="F296" s="1725"/>
    </row>
    <row r="297" spans="2:8">
      <c r="C297" s="2" t="s">
        <v>762</v>
      </c>
      <c r="D297" s="2" t="s">
        <v>1984</v>
      </c>
      <c r="E297" s="472" t="s">
        <v>3744</v>
      </c>
      <c r="F297" s="472" t="s">
        <v>1702</v>
      </c>
      <c r="G297" s="1697" t="s">
        <v>1459</v>
      </c>
      <c r="H297" s="2" t="s">
        <v>3372</v>
      </c>
    </row>
    <row r="298" spans="2:8" outlineLevel="2">
      <c r="C298" s="1696">
        <v>41057</v>
      </c>
      <c r="D298" s="13" t="s">
        <v>1867</v>
      </c>
      <c r="E298" s="484" t="s">
        <v>1868</v>
      </c>
      <c r="F298" s="484">
        <v>804</v>
      </c>
      <c r="G298" s="13" t="s">
        <v>2323</v>
      </c>
      <c r="H298" s="91">
        <v>12</v>
      </c>
    </row>
    <row r="299" spans="2:8" outlineLevel="2">
      <c r="C299" s="1696">
        <v>41057</v>
      </c>
      <c r="D299" s="13" t="s">
        <v>312</v>
      </c>
      <c r="E299" s="484" t="s">
        <v>1868</v>
      </c>
      <c r="F299" s="484">
        <v>805</v>
      </c>
      <c r="G299" s="13" t="s">
        <v>2229</v>
      </c>
      <c r="H299" s="91">
        <v>12</v>
      </c>
    </row>
    <row r="300" spans="2:8" outlineLevel="2">
      <c r="C300" s="1696">
        <v>41057</v>
      </c>
      <c r="D300" s="13" t="s">
        <v>4734</v>
      </c>
      <c r="E300" s="484" t="s">
        <v>1868</v>
      </c>
      <c r="F300" s="484">
        <v>805</v>
      </c>
      <c r="G300" s="13" t="s">
        <v>2229</v>
      </c>
      <c r="H300" s="91">
        <v>12</v>
      </c>
    </row>
    <row r="301" spans="2:8" outlineLevel="2">
      <c r="C301" s="1696">
        <v>41057</v>
      </c>
      <c r="D301" s="13" t="s">
        <v>313</v>
      </c>
      <c r="E301" s="484" t="s">
        <v>1868</v>
      </c>
      <c r="F301" s="484">
        <v>805</v>
      </c>
      <c r="G301" s="13" t="s">
        <v>2229</v>
      </c>
      <c r="H301" s="91">
        <v>12</v>
      </c>
    </row>
    <row r="302" spans="2:8" ht="15.75" outlineLevel="1">
      <c r="C302" s="1696"/>
      <c r="D302" s="13"/>
      <c r="E302" s="1702" t="s">
        <v>2100</v>
      </c>
      <c r="F302" s="1695"/>
      <c r="G302" s="1700"/>
      <c r="H302" s="1701">
        <f>SUBTOTAL(9,H298:H301)</f>
        <v>48</v>
      </c>
    </row>
    <row r="303" spans="2:8" outlineLevel="2">
      <c r="C303" s="1696">
        <v>41057</v>
      </c>
      <c r="D303" s="13" t="s">
        <v>727</v>
      </c>
      <c r="E303" s="484" t="s">
        <v>728</v>
      </c>
      <c r="F303" s="484">
        <v>804</v>
      </c>
      <c r="G303" s="13" t="s">
        <v>2323</v>
      </c>
      <c r="H303" s="91">
        <v>12</v>
      </c>
    </row>
    <row r="304" spans="2:8" outlineLevel="2">
      <c r="C304" s="1696">
        <v>41060</v>
      </c>
      <c r="D304" s="13" t="s">
        <v>3255</v>
      </c>
      <c r="E304" s="484" t="s">
        <v>728</v>
      </c>
      <c r="F304" s="484">
        <v>805</v>
      </c>
      <c r="G304" s="13" t="s">
        <v>2229</v>
      </c>
      <c r="H304" s="91">
        <v>12</v>
      </c>
    </row>
    <row r="305" spans="2:9" outlineLevel="2">
      <c r="C305" s="1696">
        <v>41060</v>
      </c>
      <c r="D305" s="13" t="s">
        <v>3256</v>
      </c>
      <c r="E305" s="484" t="s">
        <v>728</v>
      </c>
      <c r="F305" s="484">
        <v>805</v>
      </c>
      <c r="G305" s="13" t="s">
        <v>2229</v>
      </c>
      <c r="H305" s="91">
        <v>12</v>
      </c>
    </row>
    <row r="306" spans="2:9" outlineLevel="2">
      <c r="C306" s="1696">
        <v>41060</v>
      </c>
      <c r="D306" s="13" t="s">
        <v>1983</v>
      </c>
      <c r="E306" s="484" t="s">
        <v>728</v>
      </c>
      <c r="F306" s="484">
        <v>805</v>
      </c>
      <c r="G306" s="13" t="s">
        <v>2229</v>
      </c>
      <c r="H306" s="91">
        <v>12</v>
      </c>
    </row>
    <row r="307" spans="2:9" outlineLevel="2">
      <c r="C307" s="1696">
        <v>41060</v>
      </c>
      <c r="D307" s="13" t="s">
        <v>2469</v>
      </c>
      <c r="E307" s="484" t="s">
        <v>728</v>
      </c>
      <c r="F307" s="484">
        <v>805</v>
      </c>
      <c r="G307" s="13" t="s">
        <v>2229</v>
      </c>
      <c r="H307" s="91">
        <v>12</v>
      </c>
    </row>
    <row r="308" spans="2:9" outlineLevel="2">
      <c r="C308" s="1696">
        <v>41060</v>
      </c>
      <c r="D308" s="13" t="s">
        <v>3412</v>
      </c>
      <c r="E308" s="484" t="s">
        <v>728</v>
      </c>
      <c r="F308" s="484">
        <v>805</v>
      </c>
      <c r="G308" s="13" t="s">
        <v>2229</v>
      </c>
      <c r="H308" s="91">
        <v>12</v>
      </c>
    </row>
    <row r="309" spans="2:9" outlineLevel="2">
      <c r="C309" s="1696">
        <v>41060</v>
      </c>
      <c r="D309" s="13" t="s">
        <v>251</v>
      </c>
      <c r="E309" s="484" t="s">
        <v>728</v>
      </c>
      <c r="F309" s="484">
        <v>805</v>
      </c>
      <c r="G309" s="13" t="s">
        <v>2229</v>
      </c>
      <c r="H309" s="91">
        <v>12</v>
      </c>
    </row>
    <row r="310" spans="2:9" outlineLevel="2">
      <c r="C310" s="1696">
        <v>41060</v>
      </c>
      <c r="D310" s="13" t="s">
        <v>4986</v>
      </c>
      <c r="E310" s="484" t="s">
        <v>728</v>
      </c>
      <c r="F310" s="484">
        <v>805</v>
      </c>
      <c r="G310" s="13" t="s">
        <v>2229</v>
      </c>
      <c r="H310" s="91">
        <v>12</v>
      </c>
    </row>
    <row r="311" spans="2:9" outlineLevel="2">
      <c r="C311" s="1696">
        <v>41061</v>
      </c>
      <c r="D311" s="13" t="s">
        <v>4987</v>
      </c>
      <c r="E311" s="484" t="s">
        <v>728</v>
      </c>
      <c r="F311" s="484">
        <v>805</v>
      </c>
      <c r="G311" s="13" t="s">
        <v>2229</v>
      </c>
      <c r="H311" s="91">
        <v>12</v>
      </c>
    </row>
    <row r="312" spans="2:9" outlineLevel="2">
      <c r="C312" s="1696">
        <v>41061</v>
      </c>
      <c r="D312" s="13" t="s">
        <v>4733</v>
      </c>
      <c r="E312" s="484" t="s">
        <v>728</v>
      </c>
      <c r="F312" s="484">
        <v>804</v>
      </c>
      <c r="G312" s="13" t="s">
        <v>2323</v>
      </c>
      <c r="H312" s="91">
        <v>12</v>
      </c>
    </row>
    <row r="313" spans="2:9" ht="15" outlineLevel="1">
      <c r="C313" s="1696"/>
      <c r="D313" s="13"/>
      <c r="E313" s="1699" t="s">
        <v>2254</v>
      </c>
      <c r="F313" s="1695"/>
      <c r="G313" s="1700"/>
      <c r="H313" s="1701">
        <f>SUBTOTAL(9,H303:H312)</f>
        <v>120</v>
      </c>
    </row>
    <row r="314" spans="2:9" ht="8.25" customHeight="1" outlineLevel="1" thickBot="1">
      <c r="C314" s="1696"/>
      <c r="D314" s="13"/>
      <c r="E314" s="1410"/>
      <c r="F314" s="484"/>
      <c r="G314" s="13"/>
      <c r="H314" s="1698"/>
    </row>
    <row r="315" spans="2:9" ht="16.5" thickBot="1">
      <c r="C315" s="1696"/>
      <c r="D315" s="1703" t="s">
        <v>3261</v>
      </c>
      <c r="E315" s="1704"/>
      <c r="F315" s="1705"/>
      <c r="G315" s="1706">
        <f>SUBTOTAL(9,H298:H312)</f>
        <v>168</v>
      </c>
    </row>
    <row r="317" spans="2:9" ht="13.5" thickBot="1"/>
    <row r="318" spans="2:9" ht="13.5" thickTop="1">
      <c r="B318" s="1733"/>
      <c r="C318" s="1734"/>
      <c r="D318" s="1735"/>
      <c r="E318" s="1734"/>
      <c r="F318" s="1736"/>
      <c r="G318" s="1734"/>
      <c r="H318" s="1734"/>
      <c r="I318" s="1737"/>
    </row>
    <row r="319" spans="2:9" ht="15">
      <c r="B319" s="1738"/>
      <c r="C319" s="1750"/>
      <c r="D319" s="1751" t="s">
        <v>4862</v>
      </c>
      <c r="E319" s="1750"/>
      <c r="F319" s="1752"/>
      <c r="G319" s="1750"/>
      <c r="H319" s="1750"/>
      <c r="I319" s="1741"/>
    </row>
    <row r="320" spans="2:9">
      <c r="B320" s="1738"/>
      <c r="C320" s="1750"/>
      <c r="D320" s="1753"/>
      <c r="E320" s="1750"/>
      <c r="F320" s="1752"/>
      <c r="G320" s="1754">
        <v>41018</v>
      </c>
      <c r="H320" s="1750"/>
      <c r="I320" s="1741"/>
    </row>
    <row r="321" spans="2:9">
      <c r="B321" s="1738"/>
      <c r="C321" s="1750"/>
      <c r="D321" s="1755" t="s">
        <v>4804</v>
      </c>
      <c r="E321" s="1750"/>
      <c r="F321" s="1752"/>
      <c r="G321" s="1750"/>
      <c r="H321" s="1750"/>
      <c r="I321" s="1741"/>
    </row>
    <row r="322" spans="2:9">
      <c r="B322" s="1738"/>
      <c r="C322" s="1750"/>
      <c r="D322" s="1755" t="s">
        <v>2782</v>
      </c>
      <c r="E322" s="1750"/>
      <c r="F322" s="1752"/>
      <c r="G322" s="1750"/>
      <c r="H322" s="1750"/>
      <c r="I322" s="1741"/>
    </row>
    <row r="323" spans="2:9">
      <c r="B323" s="1738"/>
      <c r="C323" s="1756" t="s">
        <v>485</v>
      </c>
      <c r="D323" s="1757"/>
      <c r="E323" s="1758" t="s">
        <v>1454</v>
      </c>
      <c r="F323" s="1759" t="s">
        <v>1455</v>
      </c>
      <c r="G323" s="1758" t="s">
        <v>1456</v>
      </c>
      <c r="H323" s="1750"/>
      <c r="I323" s="1741"/>
    </row>
    <row r="324" spans="2:9">
      <c r="B324" s="1738"/>
      <c r="C324" s="1750" t="s">
        <v>3207</v>
      </c>
      <c r="D324" s="1753"/>
      <c r="E324" s="1753">
        <v>52</v>
      </c>
      <c r="F324" s="1760">
        <v>150</v>
      </c>
      <c r="G324" s="1760">
        <f t="shared" ref="G324:G330" si="0">+E324*F324</f>
        <v>7800</v>
      </c>
      <c r="H324" s="1750"/>
      <c r="I324" s="1741"/>
    </row>
    <row r="325" spans="2:9">
      <c r="B325" s="1738"/>
      <c r="C325" s="1750" t="s">
        <v>583</v>
      </c>
      <c r="D325" s="1753"/>
      <c r="E325" s="1753">
        <v>2</v>
      </c>
      <c r="F325" s="1760">
        <v>100</v>
      </c>
      <c r="G325" s="1760">
        <f t="shared" si="0"/>
        <v>200</v>
      </c>
      <c r="H325" s="1750"/>
      <c r="I325" s="1741"/>
    </row>
    <row r="326" spans="2:9">
      <c r="B326" s="1738"/>
      <c r="C326" s="1750" t="s">
        <v>1071</v>
      </c>
      <c r="D326" s="1753"/>
      <c r="E326" s="1753">
        <v>52</v>
      </c>
      <c r="F326" s="1760">
        <v>375</v>
      </c>
      <c r="G326" s="1760">
        <f t="shared" si="0"/>
        <v>19500</v>
      </c>
      <c r="H326" s="1750"/>
      <c r="I326" s="1741"/>
    </row>
    <row r="327" spans="2:9">
      <c r="B327" s="1738"/>
      <c r="C327" s="1750" t="s">
        <v>3832</v>
      </c>
      <c r="D327" s="1753"/>
      <c r="E327" s="1753">
        <v>2</v>
      </c>
      <c r="F327" s="1760">
        <v>375</v>
      </c>
      <c r="G327" s="1760">
        <f t="shared" si="0"/>
        <v>750</v>
      </c>
      <c r="H327" s="1750"/>
      <c r="I327" s="1741"/>
    </row>
    <row r="328" spans="2:9">
      <c r="B328" s="1738"/>
      <c r="C328" s="1750" t="s">
        <v>3833</v>
      </c>
      <c r="D328" s="1753"/>
      <c r="E328" s="1753">
        <v>2</v>
      </c>
      <c r="F328" s="1760">
        <v>375</v>
      </c>
      <c r="G328" s="1760">
        <f t="shared" si="0"/>
        <v>750</v>
      </c>
      <c r="H328" s="1750"/>
      <c r="I328" s="1741"/>
    </row>
    <row r="329" spans="2:9">
      <c r="B329" s="1738"/>
      <c r="C329" s="1750" t="s">
        <v>2989</v>
      </c>
      <c r="D329" s="1753"/>
      <c r="E329" s="1753">
        <v>2</v>
      </c>
      <c r="F329" s="1760">
        <v>375</v>
      </c>
      <c r="G329" s="1760">
        <f t="shared" si="0"/>
        <v>750</v>
      </c>
      <c r="H329" s="1750"/>
      <c r="I329" s="1741"/>
    </row>
    <row r="330" spans="2:9">
      <c r="B330" s="1738"/>
      <c r="C330" s="1750" t="s">
        <v>2768</v>
      </c>
      <c r="D330" s="1753"/>
      <c r="E330" s="1753">
        <v>2</v>
      </c>
      <c r="F330" s="1760">
        <v>375</v>
      </c>
      <c r="G330" s="1760">
        <f t="shared" si="0"/>
        <v>750</v>
      </c>
      <c r="H330" s="1750"/>
      <c r="I330" s="1741"/>
    </row>
    <row r="331" spans="2:9">
      <c r="B331" s="1738"/>
      <c r="C331" s="1750"/>
      <c r="D331" s="1753"/>
      <c r="E331" s="1753"/>
      <c r="F331" s="1760"/>
      <c r="G331" s="1760"/>
      <c r="H331" s="1750"/>
      <c r="I331" s="1741"/>
    </row>
    <row r="332" spans="2:9">
      <c r="B332" s="1738"/>
      <c r="C332" s="1750" t="s">
        <v>2783</v>
      </c>
      <c r="D332" s="1753"/>
      <c r="E332" s="1753"/>
      <c r="F332" s="1760"/>
      <c r="G332" s="1760">
        <v>1800</v>
      </c>
      <c r="H332" s="1750"/>
      <c r="I332" s="1741"/>
    </row>
    <row r="333" spans="2:9">
      <c r="B333" s="1738"/>
      <c r="C333" s="1750"/>
      <c r="D333" s="1750"/>
      <c r="E333" s="1753"/>
      <c r="F333" s="1760"/>
      <c r="G333" s="1760"/>
      <c r="H333" s="1750"/>
      <c r="I333" s="1741"/>
    </row>
    <row r="334" spans="2:9" ht="15.75">
      <c r="B334" s="1738"/>
      <c r="C334" s="1750"/>
      <c r="D334" s="1750"/>
      <c r="E334" s="1750"/>
      <c r="F334" s="1761" t="s">
        <v>2769</v>
      </c>
      <c r="G334" s="1761">
        <f>SUM(G324:G333)</f>
        <v>32300</v>
      </c>
      <c r="H334" s="1750"/>
      <c r="I334" s="1743"/>
    </row>
    <row r="335" spans="2:9">
      <c r="B335" s="1744"/>
      <c r="C335" s="1750"/>
      <c r="D335" s="1750"/>
      <c r="E335" s="1750"/>
      <c r="F335" s="1760"/>
      <c r="G335" s="1760"/>
      <c r="H335" s="1750"/>
      <c r="I335" s="1743"/>
    </row>
    <row r="336" spans="2:9" ht="18">
      <c r="B336" s="1744"/>
      <c r="C336" s="1750"/>
      <c r="D336" s="1762" t="s">
        <v>2770</v>
      </c>
      <c r="E336" s="1763"/>
      <c r="F336" s="1764"/>
      <c r="G336" s="1765">
        <f>+G334/12</f>
        <v>2691.6666666666665</v>
      </c>
      <c r="H336" s="1750"/>
      <c r="I336" s="1743"/>
    </row>
    <row r="337" spans="2:9" ht="15">
      <c r="B337" s="1744"/>
      <c r="C337" s="1750"/>
      <c r="D337" s="1766" t="s">
        <v>2784</v>
      </c>
      <c r="E337" s="1752"/>
      <c r="F337" s="1752"/>
      <c r="G337" s="1767">
        <f>+G336/2.62</f>
        <v>1027.3536895674299</v>
      </c>
      <c r="H337" s="1750"/>
      <c r="I337" s="1741"/>
    </row>
    <row r="338" spans="2:9">
      <c r="B338" s="1738"/>
      <c r="C338" s="1739"/>
      <c r="D338" s="1742"/>
      <c r="E338" s="1739"/>
      <c r="F338" s="1740"/>
      <c r="G338" s="1739"/>
      <c r="H338" s="1739"/>
      <c r="I338" s="1741"/>
    </row>
    <row r="339" spans="2:9" ht="13.5" thickBot="1">
      <c r="B339" s="1745"/>
      <c r="C339" s="1746"/>
      <c r="D339" s="1747"/>
      <c r="E339" s="1746"/>
      <c r="F339" s="1748"/>
      <c r="G339" s="1746"/>
      <c r="H339" s="1746"/>
      <c r="I339" s="1749"/>
    </row>
    <row r="340" spans="2:9" ht="13.5" thickTop="1"/>
    <row r="342" spans="2:9" ht="15.75">
      <c r="C342" s="1707" t="s">
        <v>3912</v>
      </c>
      <c r="D342" s="1090"/>
      <c r="E342" s="83"/>
    </row>
    <row r="343" spans="2:9">
      <c r="C343" s="1719" t="s">
        <v>762</v>
      </c>
      <c r="D343" s="1720" t="s">
        <v>1984</v>
      </c>
      <c r="E343" s="1719" t="s">
        <v>3744</v>
      </c>
      <c r="F343" s="1719" t="s">
        <v>1702</v>
      </c>
      <c r="G343" s="1721" t="s">
        <v>1459</v>
      </c>
      <c r="H343" s="1720" t="s">
        <v>3372</v>
      </c>
    </row>
    <row r="344" spans="2:9" outlineLevel="2">
      <c r="C344" s="1696">
        <v>41068</v>
      </c>
      <c r="D344" s="13" t="s">
        <v>4268</v>
      </c>
      <c r="E344" s="484" t="s">
        <v>167</v>
      </c>
      <c r="F344" s="484">
        <v>809</v>
      </c>
      <c r="G344" s="484" t="s">
        <v>2229</v>
      </c>
      <c r="H344" s="91">
        <v>12</v>
      </c>
    </row>
    <row r="345" spans="2:9" outlineLevel="2">
      <c r="C345" s="1696">
        <v>41068</v>
      </c>
      <c r="D345" s="13" t="s">
        <v>4067</v>
      </c>
      <c r="E345" s="484" t="s">
        <v>167</v>
      </c>
      <c r="F345" s="484">
        <v>809</v>
      </c>
      <c r="G345" s="484" t="s">
        <v>2229</v>
      </c>
      <c r="H345" s="91">
        <v>12</v>
      </c>
    </row>
    <row r="346" spans="2:9" outlineLevel="2">
      <c r="C346" s="1696">
        <v>41068</v>
      </c>
      <c r="D346" s="13" t="s">
        <v>4267</v>
      </c>
      <c r="E346" s="484" t="s">
        <v>167</v>
      </c>
      <c r="F346" s="484">
        <v>809</v>
      </c>
      <c r="G346" s="484" t="s">
        <v>2229</v>
      </c>
      <c r="H346" s="91">
        <v>12</v>
      </c>
    </row>
    <row r="347" spans="2:9" ht="15" outlineLevel="1">
      <c r="C347" s="1696"/>
      <c r="D347" s="13"/>
      <c r="E347" s="1710" t="s">
        <v>842</v>
      </c>
      <c r="F347" s="1711" t="s">
        <v>3488</v>
      </c>
      <c r="G347" s="1712"/>
      <c r="H347" s="1713">
        <f>SUBTOTAL(9,H344:H346)</f>
        <v>36</v>
      </c>
    </row>
    <row r="348" spans="2:9" outlineLevel="2">
      <c r="C348" s="1696">
        <v>41068</v>
      </c>
      <c r="D348" s="13" t="s">
        <v>1773</v>
      </c>
      <c r="E348" s="484" t="s">
        <v>4269</v>
      </c>
      <c r="F348" s="484">
        <v>809</v>
      </c>
      <c r="G348" s="484" t="s">
        <v>2229</v>
      </c>
      <c r="H348" s="91">
        <v>12</v>
      </c>
    </row>
    <row r="349" spans="2:9" ht="15" outlineLevel="1">
      <c r="C349" s="1696"/>
      <c r="D349" s="13"/>
      <c r="E349" s="1709" t="s">
        <v>2400</v>
      </c>
      <c r="F349" s="1711" t="s">
        <v>3489</v>
      </c>
      <c r="G349" s="1714"/>
      <c r="H349" s="1715">
        <f>SUBTOTAL(9,H348:H348)</f>
        <v>12</v>
      </c>
    </row>
    <row r="350" spans="2:9">
      <c r="C350" s="1696"/>
      <c r="D350" s="13"/>
    </row>
    <row r="351" spans="2:9" ht="15.75">
      <c r="D351" s="1716" t="s">
        <v>3261</v>
      </c>
      <c r="E351" s="1717"/>
      <c r="F351" s="1717"/>
      <c r="G351" s="1718">
        <f>SUBTOTAL(9,H344:H348)</f>
        <v>48</v>
      </c>
      <c r="H351" s="91"/>
    </row>
    <row r="354" spans="3:13" ht="15.75">
      <c r="C354" s="1707" t="s">
        <v>3279</v>
      </c>
      <c r="D354" s="1090"/>
      <c r="E354" s="83"/>
      <c r="F354" s="1725"/>
    </row>
    <row r="355" spans="3:13">
      <c r="C355" s="1719" t="s">
        <v>762</v>
      </c>
      <c r="D355" s="1720" t="s">
        <v>1984</v>
      </c>
      <c r="E355" s="1724" t="s">
        <v>2067</v>
      </c>
      <c r="F355" s="1719" t="s">
        <v>1702</v>
      </c>
      <c r="G355" s="1721" t="s">
        <v>1459</v>
      </c>
      <c r="H355" s="1720" t="s">
        <v>3372</v>
      </c>
      <c r="I355" s="1724" t="s">
        <v>2066</v>
      </c>
    </row>
    <row r="356" spans="3:13" outlineLevel="2">
      <c r="C356" s="1696">
        <v>41076</v>
      </c>
      <c r="D356" s="13" t="s">
        <v>238</v>
      </c>
      <c r="E356" s="484" t="s">
        <v>1461</v>
      </c>
      <c r="F356" s="484">
        <v>820</v>
      </c>
      <c r="G356" s="13" t="s">
        <v>2323</v>
      </c>
      <c r="H356" s="91">
        <v>12</v>
      </c>
    </row>
    <row r="357" spans="3:13" outlineLevel="2">
      <c r="C357" s="1696">
        <v>41076</v>
      </c>
      <c r="D357" s="13" t="s">
        <v>2495</v>
      </c>
      <c r="E357" s="484" t="s">
        <v>1461</v>
      </c>
      <c r="F357" s="484">
        <v>820</v>
      </c>
      <c r="G357" s="13" t="s">
        <v>2323</v>
      </c>
      <c r="H357" s="91">
        <v>12</v>
      </c>
    </row>
    <row r="358" spans="3:13" outlineLevel="2">
      <c r="C358" s="1696">
        <v>41077</v>
      </c>
      <c r="D358" s="13" t="s">
        <v>1662</v>
      </c>
      <c r="E358" s="484" t="s">
        <v>1461</v>
      </c>
      <c r="F358" s="484">
        <v>820</v>
      </c>
      <c r="G358" s="13" t="s">
        <v>2323</v>
      </c>
      <c r="H358" s="91">
        <v>12</v>
      </c>
    </row>
    <row r="359" spans="3:13" outlineLevel="2">
      <c r="C359" s="1696">
        <v>41077</v>
      </c>
      <c r="D359" s="13" t="s">
        <v>1663</v>
      </c>
      <c r="E359" s="484" t="s">
        <v>1461</v>
      </c>
      <c r="F359" s="484">
        <v>820</v>
      </c>
      <c r="G359" s="13" t="s">
        <v>2323</v>
      </c>
      <c r="H359" s="91">
        <v>12</v>
      </c>
    </row>
    <row r="360" spans="3:13" outlineLevel="1">
      <c r="C360" s="1696"/>
      <c r="D360" s="13"/>
      <c r="E360" s="1726" t="s">
        <v>2755</v>
      </c>
      <c r="F360" s="1731" t="s">
        <v>3028</v>
      </c>
      <c r="G360" s="1700"/>
      <c r="H360" s="1727">
        <f>SUBTOTAL(9,H356:H359)</f>
        <v>48</v>
      </c>
    </row>
    <row r="361" spans="3:13" outlineLevel="2">
      <c r="C361" s="1696">
        <v>41075</v>
      </c>
      <c r="D361" s="13" t="s">
        <v>5022</v>
      </c>
      <c r="E361" s="484" t="s">
        <v>5023</v>
      </c>
      <c r="F361" s="484">
        <v>815</v>
      </c>
      <c r="G361" s="13" t="s">
        <v>2615</v>
      </c>
      <c r="H361" s="91">
        <v>12</v>
      </c>
      <c r="I361" s="1768" t="s">
        <v>1772</v>
      </c>
    </row>
    <row r="362" spans="3:13" outlineLevel="2">
      <c r="C362" s="1696">
        <v>41070</v>
      </c>
      <c r="D362" s="13" t="s">
        <v>1743</v>
      </c>
      <c r="E362" s="484" t="s">
        <v>5023</v>
      </c>
      <c r="F362" s="484">
        <v>813</v>
      </c>
      <c r="G362" s="13" t="s">
        <v>541</v>
      </c>
      <c r="H362" s="1729">
        <v>12</v>
      </c>
      <c r="I362" s="1723" t="s">
        <v>728</v>
      </c>
    </row>
    <row r="363" spans="3:13" outlineLevel="1">
      <c r="C363" s="1696"/>
      <c r="D363" s="13"/>
      <c r="E363" s="1722" t="s">
        <v>3280</v>
      </c>
      <c r="F363" s="1731" t="s">
        <v>3029</v>
      </c>
      <c r="G363" s="1700"/>
      <c r="H363" s="1728">
        <f>SUBTOTAL(9,H361:H362)</f>
        <v>24</v>
      </c>
      <c r="I363" s="484"/>
    </row>
    <row r="364" spans="3:13" outlineLevel="1">
      <c r="C364" s="1696"/>
      <c r="D364" s="13"/>
      <c r="E364" s="94"/>
      <c r="F364" s="1708"/>
      <c r="G364" s="888"/>
      <c r="H364" s="1730"/>
      <c r="I364" s="484"/>
    </row>
    <row r="365" spans="3:13" ht="15.75">
      <c r="C365" s="1696"/>
      <c r="D365" s="1716" t="s">
        <v>3261</v>
      </c>
      <c r="E365" s="1717"/>
      <c r="F365" s="1732"/>
      <c r="G365" s="1718">
        <f>SUBTOTAL(9,H356:H362)</f>
        <v>72</v>
      </c>
      <c r="I365" s="484"/>
    </row>
    <row r="368" spans="3:13" ht="15.75">
      <c r="C368" s="1707" t="s">
        <v>307</v>
      </c>
      <c r="D368" s="1090"/>
      <c r="E368" s="83"/>
      <c r="F368" s="1725"/>
      <c r="M368" s="91">
        <v>124.76</v>
      </c>
    </row>
    <row r="369" spans="3:13">
      <c r="C369" s="1719" t="s">
        <v>762</v>
      </c>
      <c r="D369" s="1720" t="s">
        <v>1984</v>
      </c>
      <c r="E369" s="1724" t="s">
        <v>2067</v>
      </c>
      <c r="F369" s="1719" t="s">
        <v>1702</v>
      </c>
      <c r="G369" s="1721" t="s">
        <v>1459</v>
      </c>
      <c r="H369" s="1720" t="s">
        <v>3372</v>
      </c>
      <c r="J369" s="13"/>
      <c r="M369" s="91">
        <v>195.75</v>
      </c>
    </row>
    <row r="370" spans="3:13" outlineLevel="2">
      <c r="C370" s="1696">
        <v>41090</v>
      </c>
      <c r="D370" s="484" t="s">
        <v>3078</v>
      </c>
      <c r="E370" s="484" t="s">
        <v>3079</v>
      </c>
      <c r="F370" s="484">
        <v>829</v>
      </c>
      <c r="G370" s="13" t="s">
        <v>1771</v>
      </c>
      <c r="H370" s="91">
        <v>12</v>
      </c>
      <c r="M370" s="91">
        <v>90.48</v>
      </c>
    </row>
    <row r="371" spans="3:13" outlineLevel="2">
      <c r="C371" s="1696">
        <v>41090</v>
      </c>
      <c r="D371" s="484" t="s">
        <v>374</v>
      </c>
      <c r="E371" s="484" t="s">
        <v>3079</v>
      </c>
      <c r="F371" s="484">
        <v>829</v>
      </c>
      <c r="G371" s="13" t="s">
        <v>1771</v>
      </c>
      <c r="H371" s="91">
        <v>12</v>
      </c>
      <c r="M371" s="91">
        <v>134.41999999999999</v>
      </c>
    </row>
    <row r="372" spans="3:13" outlineLevel="1">
      <c r="C372" s="1696"/>
      <c r="D372" s="484"/>
      <c r="E372" s="1726" t="s">
        <v>308</v>
      </c>
      <c r="F372" s="1731" t="s">
        <v>1849</v>
      </c>
      <c r="G372" s="1700"/>
      <c r="H372" s="1701">
        <f>SUBTOTAL(9,H370:H371)</f>
        <v>24</v>
      </c>
      <c r="M372" s="91">
        <v>98.89</v>
      </c>
    </row>
    <row r="373" spans="3:13" outlineLevel="2">
      <c r="C373" s="1696">
        <v>41090</v>
      </c>
      <c r="D373" s="484" t="s">
        <v>4893</v>
      </c>
      <c r="E373" s="484" t="s">
        <v>4894</v>
      </c>
      <c r="F373" s="484">
        <v>829</v>
      </c>
      <c r="G373" s="13" t="s">
        <v>1771</v>
      </c>
      <c r="H373" s="91">
        <v>12</v>
      </c>
      <c r="M373" s="91">
        <v>226.2</v>
      </c>
    </row>
    <row r="374" spans="3:13" outlineLevel="2">
      <c r="C374" s="1696">
        <v>41090</v>
      </c>
      <c r="D374" s="484" t="s">
        <v>240</v>
      </c>
      <c r="E374" s="484" t="s">
        <v>4894</v>
      </c>
      <c r="F374" s="484">
        <v>829</v>
      </c>
      <c r="G374" s="13" t="s">
        <v>1771</v>
      </c>
      <c r="H374" s="91">
        <v>12</v>
      </c>
      <c r="M374" s="91">
        <f>SUM(M368:M373)</f>
        <v>870.5</v>
      </c>
    </row>
    <row r="375" spans="3:13" outlineLevel="1">
      <c r="C375" s="1696"/>
      <c r="D375" s="484"/>
      <c r="E375" s="1722" t="s">
        <v>309</v>
      </c>
      <c r="F375" s="1731" t="s">
        <v>1889</v>
      </c>
      <c r="G375" s="1700"/>
      <c r="H375" s="1701">
        <f>SUBTOTAL(9,H373:H374)</f>
        <v>24</v>
      </c>
      <c r="M375" s="91"/>
    </row>
    <row r="376" spans="3:13" outlineLevel="2">
      <c r="C376" s="1696">
        <v>41090</v>
      </c>
      <c r="D376" s="484" t="s">
        <v>3055</v>
      </c>
      <c r="E376" s="484" t="s">
        <v>1868</v>
      </c>
      <c r="F376" s="484">
        <v>829</v>
      </c>
      <c r="G376" s="13" t="s">
        <v>1771</v>
      </c>
      <c r="H376" s="91">
        <v>12</v>
      </c>
      <c r="M376" s="91">
        <v>4229.3999999999996</v>
      </c>
    </row>
    <row r="377" spans="3:13" outlineLevel="2">
      <c r="C377" s="1696">
        <v>41090</v>
      </c>
      <c r="D377" s="484" t="s">
        <v>239</v>
      </c>
      <c r="E377" s="484" t="s">
        <v>1868</v>
      </c>
      <c r="F377" s="484">
        <v>829</v>
      </c>
      <c r="G377" s="13" t="s">
        <v>1771</v>
      </c>
      <c r="H377" s="91">
        <v>12</v>
      </c>
      <c r="M377" s="91"/>
    </row>
    <row r="378" spans="3:13" outlineLevel="1">
      <c r="C378" s="1696"/>
      <c r="D378" s="484"/>
      <c r="E378" s="1722" t="s">
        <v>310</v>
      </c>
      <c r="F378" s="1731" t="s">
        <v>1890</v>
      </c>
      <c r="G378" s="1700"/>
      <c r="H378" s="1701">
        <f>SUBTOTAL(9,H376:H377)</f>
        <v>24</v>
      </c>
      <c r="M378" s="91">
        <f>+M376-M374</f>
        <v>3358.8999999999996</v>
      </c>
    </row>
    <row r="379" spans="3:13" outlineLevel="2">
      <c r="C379" s="1696">
        <v>41090</v>
      </c>
      <c r="D379" s="484" t="s">
        <v>3077</v>
      </c>
      <c r="E379" s="484" t="s">
        <v>706</v>
      </c>
      <c r="F379" s="484">
        <v>829</v>
      </c>
      <c r="G379" s="13" t="s">
        <v>1771</v>
      </c>
      <c r="H379" s="91">
        <v>12</v>
      </c>
    </row>
    <row r="380" spans="3:13" outlineLevel="2">
      <c r="C380" s="1696">
        <v>41090</v>
      </c>
      <c r="D380" s="484" t="s">
        <v>375</v>
      </c>
      <c r="E380" s="484" t="s">
        <v>706</v>
      </c>
      <c r="F380" s="484">
        <v>829</v>
      </c>
      <c r="G380" s="13" t="s">
        <v>1771</v>
      </c>
      <c r="H380" s="91">
        <v>12</v>
      </c>
    </row>
    <row r="381" spans="3:13" outlineLevel="1">
      <c r="C381" s="1696"/>
      <c r="D381" s="484"/>
      <c r="E381" s="1722" t="s">
        <v>3883</v>
      </c>
      <c r="F381" s="1731" t="s">
        <v>368</v>
      </c>
      <c r="G381" s="1700"/>
      <c r="H381" s="1701">
        <f>SUBTOTAL(9,H379:H380)</f>
        <v>24</v>
      </c>
    </row>
    <row r="382" spans="3:13" outlineLevel="2">
      <c r="C382" s="1696">
        <v>41090</v>
      </c>
      <c r="D382" s="484" t="s">
        <v>3053</v>
      </c>
      <c r="E382" s="484" t="s">
        <v>3054</v>
      </c>
      <c r="F382" s="484">
        <v>829</v>
      </c>
      <c r="G382" s="13" t="s">
        <v>1771</v>
      </c>
      <c r="H382" s="91">
        <v>12</v>
      </c>
    </row>
    <row r="383" spans="3:13" outlineLevel="2">
      <c r="C383" s="1696">
        <v>41090</v>
      </c>
      <c r="D383" s="484" t="s">
        <v>2410</v>
      </c>
      <c r="E383" s="484" t="s">
        <v>3054</v>
      </c>
      <c r="F383" s="484">
        <v>829</v>
      </c>
      <c r="G383" s="13" t="s">
        <v>1771</v>
      </c>
      <c r="H383" s="91">
        <v>12</v>
      </c>
    </row>
    <row r="384" spans="3:13" outlineLevel="1">
      <c r="C384" s="1696"/>
      <c r="D384" s="484"/>
      <c r="E384" s="1722" t="s">
        <v>311</v>
      </c>
      <c r="F384" s="1731" t="s">
        <v>25</v>
      </c>
      <c r="G384" s="1700"/>
      <c r="H384" s="1701">
        <f>SUBTOTAL(9,H382:H383)</f>
        <v>24</v>
      </c>
    </row>
    <row r="385" spans="3:8" outlineLevel="2">
      <c r="C385" s="1696">
        <v>41090</v>
      </c>
      <c r="D385" s="484" t="s">
        <v>4674</v>
      </c>
      <c r="E385" s="484" t="s">
        <v>2442</v>
      </c>
      <c r="F385" s="484">
        <v>829</v>
      </c>
      <c r="G385" s="13" t="s">
        <v>1771</v>
      </c>
      <c r="H385" s="91">
        <v>12</v>
      </c>
    </row>
    <row r="386" spans="3:8" outlineLevel="2">
      <c r="C386" s="1696">
        <v>41090</v>
      </c>
      <c r="D386" s="484" t="s">
        <v>241</v>
      </c>
      <c r="E386" s="484" t="s">
        <v>2442</v>
      </c>
      <c r="F386" s="484">
        <v>829</v>
      </c>
      <c r="G386" s="13" t="s">
        <v>1771</v>
      </c>
      <c r="H386" s="91">
        <v>12</v>
      </c>
    </row>
    <row r="387" spans="3:8" outlineLevel="1">
      <c r="C387" s="1696"/>
      <c r="D387" s="484"/>
      <c r="E387" s="1722" t="s">
        <v>3872</v>
      </c>
      <c r="F387" s="1731" t="s">
        <v>1100</v>
      </c>
      <c r="G387" s="1700"/>
      <c r="H387" s="1701">
        <f>SUBTOTAL(9,H385:H386)</f>
        <v>24</v>
      </c>
    </row>
    <row r="388" spans="3:8" outlineLevel="2">
      <c r="C388" s="1696">
        <v>41090</v>
      </c>
      <c r="D388" s="484" t="s">
        <v>4895</v>
      </c>
      <c r="E388" s="484" t="s">
        <v>4835</v>
      </c>
      <c r="F388" s="484">
        <v>829</v>
      </c>
      <c r="G388" s="13" t="s">
        <v>1771</v>
      </c>
      <c r="H388" s="91">
        <v>12</v>
      </c>
    </row>
    <row r="389" spans="3:8" outlineLevel="2">
      <c r="C389" s="1696">
        <v>41090</v>
      </c>
      <c r="D389" s="484" t="s">
        <v>3374</v>
      </c>
      <c r="E389" s="484" t="s">
        <v>4835</v>
      </c>
      <c r="F389" s="484">
        <v>829</v>
      </c>
      <c r="G389" s="13" t="s">
        <v>1771</v>
      </c>
      <c r="H389" s="91">
        <v>12</v>
      </c>
    </row>
    <row r="390" spans="3:8" outlineLevel="1">
      <c r="C390" s="1696"/>
      <c r="D390" s="484"/>
      <c r="E390" s="1722" t="s">
        <v>3900</v>
      </c>
      <c r="F390" s="1731" t="s">
        <v>5035</v>
      </c>
      <c r="G390" s="1700"/>
      <c r="H390" s="1701">
        <f>SUBTOTAL(9,H388:H389)</f>
        <v>24</v>
      </c>
    </row>
    <row r="391" spans="3:8" outlineLevel="2">
      <c r="C391" s="1696">
        <v>41090</v>
      </c>
      <c r="D391" s="484" t="s">
        <v>3462</v>
      </c>
      <c r="E391" s="484" t="s">
        <v>3050</v>
      </c>
      <c r="F391" s="484">
        <v>829</v>
      </c>
      <c r="G391" s="13" t="s">
        <v>1771</v>
      </c>
      <c r="H391" s="91">
        <v>12</v>
      </c>
    </row>
    <row r="392" spans="3:8" outlineLevel="2">
      <c r="C392" s="1696">
        <v>41090</v>
      </c>
      <c r="D392" s="484" t="s">
        <v>3626</v>
      </c>
      <c r="E392" s="484" t="s">
        <v>3050</v>
      </c>
      <c r="F392" s="484">
        <v>829</v>
      </c>
      <c r="G392" s="13" t="s">
        <v>1771</v>
      </c>
      <c r="H392" s="91">
        <v>12</v>
      </c>
    </row>
    <row r="393" spans="3:8" outlineLevel="1">
      <c r="C393" s="1696"/>
      <c r="D393" s="484"/>
      <c r="E393" s="1722" t="s">
        <v>4724</v>
      </c>
      <c r="F393" s="1731" t="s">
        <v>4023</v>
      </c>
      <c r="G393" s="1700"/>
      <c r="H393" s="1701">
        <f>SUBTOTAL(9,H391:H392)</f>
        <v>24</v>
      </c>
    </row>
    <row r="394" spans="3:8" outlineLevel="2">
      <c r="C394" s="1696">
        <v>41090</v>
      </c>
      <c r="D394" s="484" t="s">
        <v>3051</v>
      </c>
      <c r="E394" s="484" t="s">
        <v>3052</v>
      </c>
      <c r="F394" s="484">
        <v>829</v>
      </c>
      <c r="G394" s="13" t="s">
        <v>1771</v>
      </c>
      <c r="H394" s="91">
        <v>12</v>
      </c>
    </row>
    <row r="395" spans="3:8" outlineLevel="2">
      <c r="C395" s="1696">
        <v>41090</v>
      </c>
      <c r="D395" s="484" t="s">
        <v>1751</v>
      </c>
      <c r="E395" s="484" t="s">
        <v>3052</v>
      </c>
      <c r="F395" s="484">
        <v>829</v>
      </c>
      <c r="G395" s="13" t="s">
        <v>1771</v>
      </c>
      <c r="H395" s="91">
        <v>12</v>
      </c>
    </row>
    <row r="396" spans="3:8" outlineLevel="1">
      <c r="C396" s="1696"/>
      <c r="D396" s="484"/>
      <c r="E396" s="1722" t="s">
        <v>3068</v>
      </c>
      <c r="F396" s="1731" t="s">
        <v>976</v>
      </c>
      <c r="G396" s="1700"/>
      <c r="H396" s="1701">
        <f>SUBTOTAL(9,H394:H395)</f>
        <v>24</v>
      </c>
    </row>
    <row r="397" spans="3:8" outlineLevel="2">
      <c r="C397" s="1696">
        <v>41090</v>
      </c>
      <c r="D397" s="484" t="s">
        <v>4892</v>
      </c>
      <c r="E397" s="484" t="s">
        <v>1527</v>
      </c>
      <c r="F397" s="484">
        <v>829</v>
      </c>
      <c r="G397" s="13" t="s">
        <v>1771</v>
      </c>
      <c r="H397" s="91">
        <v>12</v>
      </c>
    </row>
    <row r="398" spans="3:8" outlineLevel="2">
      <c r="C398" s="1696">
        <v>41090</v>
      </c>
      <c r="D398" s="484" t="s">
        <v>3373</v>
      </c>
      <c r="E398" s="484" t="s">
        <v>1527</v>
      </c>
      <c r="F398" s="484">
        <v>829</v>
      </c>
      <c r="G398" s="13" t="s">
        <v>1771</v>
      </c>
      <c r="H398" s="91">
        <v>12</v>
      </c>
    </row>
    <row r="399" spans="3:8" outlineLevel="1">
      <c r="C399" s="1696"/>
      <c r="D399" s="484"/>
      <c r="E399" s="1722" t="s">
        <v>3871</v>
      </c>
      <c r="F399" s="1731" t="s">
        <v>3603</v>
      </c>
      <c r="G399" s="1700"/>
      <c r="H399" s="1701">
        <f>SUBTOTAL(9,H397:H398)</f>
        <v>24</v>
      </c>
    </row>
    <row r="400" spans="3:8" outlineLevel="1">
      <c r="C400" s="1696"/>
      <c r="D400" s="484"/>
      <c r="E400" s="472"/>
      <c r="F400" s="484"/>
      <c r="G400" s="13"/>
      <c r="H400" s="91"/>
    </row>
    <row r="401" spans="3:12" ht="15.75">
      <c r="C401" s="1696"/>
      <c r="D401" s="1716" t="s">
        <v>3261</v>
      </c>
      <c r="E401" s="1717"/>
      <c r="F401" s="1732"/>
      <c r="G401" s="1718">
        <f>SUBTOTAL(9,H370:H398)</f>
        <v>240</v>
      </c>
    </row>
    <row r="403" spans="3:12" ht="15.75">
      <c r="C403" s="1707" t="s">
        <v>2621</v>
      </c>
      <c r="D403" s="1090"/>
      <c r="E403" s="83"/>
      <c r="F403" s="1725"/>
    </row>
    <row r="404" spans="3:12" ht="13.5" thickBot="1">
      <c r="C404" s="1788" t="s">
        <v>762</v>
      </c>
      <c r="D404" s="1789" t="s">
        <v>1984</v>
      </c>
      <c r="E404" s="1790" t="s">
        <v>2067</v>
      </c>
      <c r="F404" s="1788" t="s">
        <v>1702</v>
      </c>
      <c r="G404" s="1791" t="s">
        <v>1459</v>
      </c>
      <c r="H404" s="1789" t="s">
        <v>3372</v>
      </c>
      <c r="I404" s="1790" t="s">
        <v>2066</v>
      </c>
    </row>
    <row r="405" spans="3:12" ht="15" outlineLevel="2" thickTop="1">
      <c r="C405" s="1782">
        <v>41120</v>
      </c>
      <c r="D405" s="897" t="s">
        <v>1382</v>
      </c>
      <c r="E405" s="897" t="s">
        <v>3079</v>
      </c>
      <c r="F405" s="897">
        <v>844</v>
      </c>
      <c r="G405" s="1" t="s">
        <v>5024</v>
      </c>
      <c r="H405" s="91">
        <v>12</v>
      </c>
      <c r="I405" s="8"/>
    </row>
    <row r="406" spans="3:12" ht="14.25" outlineLevel="2">
      <c r="C406" s="1782">
        <v>41120</v>
      </c>
      <c r="D406" s="897" t="s">
        <v>2502</v>
      </c>
      <c r="E406" s="897" t="s">
        <v>3079</v>
      </c>
      <c r="F406" s="897">
        <v>844</v>
      </c>
      <c r="G406" s="1" t="s">
        <v>5024</v>
      </c>
      <c r="H406" s="91">
        <v>12</v>
      </c>
      <c r="I406" s="8"/>
    </row>
    <row r="407" spans="3:12" ht="14.25" outlineLevel="2">
      <c r="C407" s="1782">
        <v>41120</v>
      </c>
      <c r="D407" s="897" t="s">
        <v>4572</v>
      </c>
      <c r="E407" s="897" t="s">
        <v>3079</v>
      </c>
      <c r="F407" s="897">
        <v>844</v>
      </c>
      <c r="G407" s="1" t="s">
        <v>5024</v>
      </c>
      <c r="H407" s="91">
        <v>12</v>
      </c>
      <c r="I407" s="8"/>
    </row>
    <row r="408" spans="3:12" ht="14.25" outlineLevel="2">
      <c r="C408" s="1782">
        <v>41120</v>
      </c>
      <c r="D408" s="897" t="s">
        <v>1383</v>
      </c>
      <c r="E408" s="897" t="s">
        <v>3079</v>
      </c>
      <c r="F408" s="897">
        <v>844</v>
      </c>
      <c r="G408" s="1" t="s">
        <v>5024</v>
      </c>
      <c r="H408" s="91">
        <v>12</v>
      </c>
      <c r="I408" s="8"/>
    </row>
    <row r="409" spans="3:12" ht="15" outlineLevel="1">
      <c r="C409" s="1782"/>
      <c r="D409" s="897"/>
      <c r="E409" s="1710" t="s">
        <v>308</v>
      </c>
      <c r="F409" s="1786" t="s">
        <v>2464</v>
      </c>
      <c r="G409" s="1787"/>
      <c r="H409" s="1701">
        <f>SUBTOTAL(9,H405:H408)-12</f>
        <v>36</v>
      </c>
      <c r="I409" s="8"/>
      <c r="L409" s="91"/>
    </row>
    <row r="410" spans="3:12" ht="14.25" outlineLevel="2">
      <c r="C410" s="1782">
        <v>41116</v>
      </c>
      <c r="D410" s="897" t="s">
        <v>1723</v>
      </c>
      <c r="E410" s="897" t="s">
        <v>4894</v>
      </c>
      <c r="F410" s="897">
        <v>843</v>
      </c>
      <c r="G410" s="1" t="s">
        <v>5024</v>
      </c>
      <c r="H410" s="1698">
        <v>12</v>
      </c>
      <c r="I410" s="472" t="s">
        <v>3079</v>
      </c>
    </row>
    <row r="411" spans="3:12" ht="14.25" outlineLevel="2">
      <c r="C411" s="1782">
        <v>41120</v>
      </c>
      <c r="D411" s="897" t="s">
        <v>2501</v>
      </c>
      <c r="E411" s="897" t="s">
        <v>4894</v>
      </c>
      <c r="F411" s="897">
        <v>844</v>
      </c>
      <c r="G411" s="1" t="s">
        <v>5024</v>
      </c>
      <c r="H411" s="1698">
        <v>12</v>
      </c>
      <c r="I411" s="8"/>
    </row>
    <row r="412" spans="3:12" ht="14.25" outlineLevel="2">
      <c r="C412" s="1782">
        <v>41120</v>
      </c>
      <c r="D412" s="897" t="s">
        <v>2500</v>
      </c>
      <c r="E412" s="897" t="s">
        <v>4894</v>
      </c>
      <c r="F412" s="897">
        <v>844</v>
      </c>
      <c r="G412" s="1" t="s">
        <v>5024</v>
      </c>
      <c r="H412" s="1698">
        <v>12</v>
      </c>
      <c r="I412" s="8"/>
    </row>
    <row r="413" spans="3:12" ht="14.25" outlineLevel="2">
      <c r="C413" s="1782">
        <v>41120</v>
      </c>
      <c r="D413" s="897" t="s">
        <v>191</v>
      </c>
      <c r="E413" s="897" t="s">
        <v>4894</v>
      </c>
      <c r="F413" s="897">
        <v>844</v>
      </c>
      <c r="G413" s="1" t="s">
        <v>5024</v>
      </c>
      <c r="H413" s="1698">
        <v>12</v>
      </c>
      <c r="I413" s="8"/>
    </row>
    <row r="414" spans="3:12" ht="14.25" outlineLevel="2">
      <c r="C414" s="1782">
        <v>41120</v>
      </c>
      <c r="D414" s="897" t="s">
        <v>2208</v>
      </c>
      <c r="E414" s="897" t="s">
        <v>4894</v>
      </c>
      <c r="F414" s="897">
        <v>844</v>
      </c>
      <c r="G414" s="1" t="s">
        <v>5024</v>
      </c>
      <c r="H414" s="1698">
        <v>12</v>
      </c>
      <c r="I414" s="8"/>
    </row>
    <row r="415" spans="3:12" ht="14.25" outlineLevel="2">
      <c r="C415" s="1782">
        <v>41120</v>
      </c>
      <c r="D415" s="897" t="s">
        <v>2209</v>
      </c>
      <c r="E415" s="897" t="s">
        <v>4894</v>
      </c>
      <c r="F415" s="897">
        <v>844</v>
      </c>
      <c r="G415" s="1" t="s">
        <v>5024</v>
      </c>
      <c r="H415" s="1698">
        <v>12</v>
      </c>
      <c r="I415" s="8"/>
    </row>
    <row r="416" spans="3:12" ht="14.25" outlineLevel="2">
      <c r="C416" s="1782">
        <v>41120</v>
      </c>
      <c r="D416" s="897" t="s">
        <v>4923</v>
      </c>
      <c r="E416" s="897" t="s">
        <v>4894</v>
      </c>
      <c r="F416" s="897">
        <v>844</v>
      </c>
      <c r="G416" s="1" t="s">
        <v>5024</v>
      </c>
      <c r="H416" s="1698">
        <v>12</v>
      </c>
      <c r="I416" s="8"/>
    </row>
    <row r="417" spans="3:9" ht="14.25" outlineLevel="2">
      <c r="C417" s="1782">
        <v>41121</v>
      </c>
      <c r="D417" s="897" t="s">
        <v>1724</v>
      </c>
      <c r="E417" s="897" t="s">
        <v>4894</v>
      </c>
      <c r="F417" s="897">
        <v>844</v>
      </c>
      <c r="G417" s="1" t="s">
        <v>5024</v>
      </c>
      <c r="H417" s="1698">
        <v>12</v>
      </c>
      <c r="I417" s="8"/>
    </row>
    <row r="418" spans="3:9" ht="14.25" outlineLevel="2">
      <c r="C418" s="1782">
        <v>41121</v>
      </c>
      <c r="D418" s="897" t="s">
        <v>2611</v>
      </c>
      <c r="E418" s="897" t="s">
        <v>4894</v>
      </c>
      <c r="F418" s="897">
        <v>844</v>
      </c>
      <c r="G418" s="1" t="s">
        <v>5024</v>
      </c>
      <c r="H418" s="1698">
        <v>12</v>
      </c>
      <c r="I418" s="8"/>
    </row>
    <row r="419" spans="3:9" ht="14.25" outlineLevel="2">
      <c r="C419" s="1782">
        <v>41121</v>
      </c>
      <c r="D419" s="897" t="s">
        <v>1725</v>
      </c>
      <c r="E419" s="897" t="s">
        <v>4894</v>
      </c>
      <c r="F419" s="897">
        <v>844</v>
      </c>
      <c r="G419" s="1" t="s">
        <v>5024</v>
      </c>
      <c r="H419" s="1698">
        <v>12</v>
      </c>
      <c r="I419" s="8"/>
    </row>
    <row r="420" spans="3:9" ht="15" outlineLevel="1">
      <c r="C420" s="1782"/>
      <c r="D420" s="897"/>
      <c r="E420" s="1709" t="s">
        <v>309</v>
      </c>
      <c r="F420" s="1786" t="s">
        <v>1889</v>
      </c>
      <c r="G420" s="1787"/>
      <c r="H420" s="1701">
        <f>SUBTOTAL(9,H410:H419)</f>
        <v>120</v>
      </c>
      <c r="I420" s="8"/>
    </row>
    <row r="421" spans="3:9" ht="14.25" outlineLevel="2">
      <c r="C421" s="1782">
        <v>41120</v>
      </c>
      <c r="D421" s="897" t="s">
        <v>190</v>
      </c>
      <c r="E421" s="897" t="s">
        <v>646</v>
      </c>
      <c r="F421" s="897">
        <v>844</v>
      </c>
      <c r="G421" s="1" t="s">
        <v>5024</v>
      </c>
      <c r="H421" s="1698">
        <v>12</v>
      </c>
      <c r="I421" s="8"/>
    </row>
    <row r="422" spans="3:9" ht="14.25" outlineLevel="2">
      <c r="C422" s="1782">
        <v>41120</v>
      </c>
      <c r="D422" s="897" t="s">
        <v>2113</v>
      </c>
      <c r="E422" s="897" t="s">
        <v>646</v>
      </c>
      <c r="F422" s="897">
        <v>844</v>
      </c>
      <c r="G422" s="1" t="s">
        <v>5024</v>
      </c>
      <c r="H422" s="1698">
        <v>12</v>
      </c>
      <c r="I422" s="8"/>
    </row>
    <row r="423" spans="3:9" ht="14.25" outlineLevel="2">
      <c r="C423" s="1782">
        <v>41120</v>
      </c>
      <c r="D423" s="897" t="s">
        <v>3937</v>
      </c>
      <c r="E423" s="897" t="s">
        <v>646</v>
      </c>
      <c r="F423" s="897">
        <v>844</v>
      </c>
      <c r="G423" s="1" t="s">
        <v>5024</v>
      </c>
      <c r="H423" s="1698">
        <v>12</v>
      </c>
      <c r="I423" s="8"/>
    </row>
    <row r="424" spans="3:9" ht="14.25" outlineLevel="2">
      <c r="C424" s="1782">
        <v>41120</v>
      </c>
      <c r="D424" s="897" t="s">
        <v>647</v>
      </c>
      <c r="E424" s="897" t="s">
        <v>646</v>
      </c>
      <c r="F424" s="897">
        <v>844</v>
      </c>
      <c r="G424" s="1" t="s">
        <v>5024</v>
      </c>
      <c r="H424" s="1698">
        <v>12</v>
      </c>
      <c r="I424" s="8"/>
    </row>
    <row r="425" spans="3:9" ht="14.25" outlineLevel="2">
      <c r="C425" s="1782">
        <v>41120</v>
      </c>
      <c r="D425" s="897" t="s">
        <v>2114</v>
      </c>
      <c r="E425" s="897" t="s">
        <v>646</v>
      </c>
      <c r="F425" s="897">
        <v>844</v>
      </c>
      <c r="G425" s="1" t="s">
        <v>5024</v>
      </c>
      <c r="H425" s="1698">
        <v>12</v>
      </c>
      <c r="I425" s="8"/>
    </row>
    <row r="426" spans="3:9" ht="14.25" outlineLevel="2">
      <c r="C426" s="1782">
        <v>41120</v>
      </c>
      <c r="D426" s="897" t="s">
        <v>189</v>
      </c>
      <c r="E426" s="897" t="s">
        <v>646</v>
      </c>
      <c r="F426" s="897">
        <v>844</v>
      </c>
      <c r="G426" s="1" t="s">
        <v>5024</v>
      </c>
      <c r="H426" s="1698">
        <v>12</v>
      </c>
      <c r="I426" s="8"/>
    </row>
    <row r="427" spans="3:9" ht="14.25" outlineLevel="2">
      <c r="C427" s="1782">
        <v>41120</v>
      </c>
      <c r="D427" s="897" t="s">
        <v>1109</v>
      </c>
      <c r="E427" s="897" t="s">
        <v>646</v>
      </c>
      <c r="F427" s="897">
        <v>844</v>
      </c>
      <c r="G427" s="1" t="s">
        <v>5024</v>
      </c>
      <c r="H427" s="1698">
        <v>12</v>
      </c>
      <c r="I427" s="8"/>
    </row>
    <row r="428" spans="3:9" ht="14.25" outlineLevel="2">
      <c r="C428" s="1782">
        <v>41121</v>
      </c>
      <c r="D428" s="897" t="s">
        <v>935</v>
      </c>
      <c r="E428" s="897" t="s">
        <v>646</v>
      </c>
      <c r="F428" s="897">
        <v>844</v>
      </c>
      <c r="G428" s="1" t="s">
        <v>5024</v>
      </c>
      <c r="H428" s="1698">
        <v>12</v>
      </c>
      <c r="I428" s="8"/>
    </row>
    <row r="429" spans="3:9" ht="14.25" outlineLevel="2">
      <c r="C429" s="1782">
        <v>41121</v>
      </c>
      <c r="D429" s="897" t="s">
        <v>934</v>
      </c>
      <c r="E429" s="897" t="s">
        <v>646</v>
      </c>
      <c r="F429" s="897">
        <v>844</v>
      </c>
      <c r="G429" s="1" t="s">
        <v>5024</v>
      </c>
      <c r="H429" s="1698">
        <v>12</v>
      </c>
      <c r="I429" s="8"/>
    </row>
    <row r="430" spans="3:9" ht="14.25" outlineLevel="2">
      <c r="C430" s="1782">
        <v>41121</v>
      </c>
      <c r="D430" s="897" t="s">
        <v>1723</v>
      </c>
      <c r="E430" s="897" t="s">
        <v>646</v>
      </c>
      <c r="F430" s="897">
        <v>843</v>
      </c>
      <c r="G430" s="1" t="s">
        <v>5024</v>
      </c>
      <c r="H430" s="1698">
        <v>12</v>
      </c>
      <c r="I430" s="8"/>
    </row>
    <row r="431" spans="3:9" ht="15" outlineLevel="1">
      <c r="C431" s="1782"/>
      <c r="D431" s="897"/>
      <c r="E431" s="1709" t="s">
        <v>2622</v>
      </c>
      <c r="F431" s="1786" t="s">
        <v>1153</v>
      </c>
      <c r="G431" s="1787"/>
      <c r="H431" s="1701">
        <f>SUBTOTAL(9,H421:H430)</f>
        <v>120</v>
      </c>
      <c r="I431" s="8"/>
    </row>
    <row r="432" spans="3:9" ht="14.25" outlineLevel="2">
      <c r="C432" s="1782">
        <v>41120</v>
      </c>
      <c r="D432" s="897" t="s">
        <v>3210</v>
      </c>
      <c r="E432" s="897" t="s">
        <v>290</v>
      </c>
      <c r="F432" s="897">
        <v>844</v>
      </c>
      <c r="G432" s="1" t="s">
        <v>5024</v>
      </c>
      <c r="H432" s="1698">
        <v>12</v>
      </c>
      <c r="I432" s="8"/>
    </row>
    <row r="433" spans="3:9" ht="14.25" outlineLevel="2">
      <c r="C433" s="1782">
        <v>41120</v>
      </c>
      <c r="D433" s="897" t="s">
        <v>644</v>
      </c>
      <c r="E433" s="897" t="s">
        <v>290</v>
      </c>
      <c r="F433" s="897">
        <v>844</v>
      </c>
      <c r="G433" s="1" t="s">
        <v>5024</v>
      </c>
      <c r="H433" s="1698">
        <v>12</v>
      </c>
      <c r="I433" s="8"/>
    </row>
    <row r="434" spans="3:9" ht="14.25" outlineLevel="2">
      <c r="C434" s="1782">
        <v>41120</v>
      </c>
      <c r="D434" s="897" t="s">
        <v>643</v>
      </c>
      <c r="E434" s="897" t="s">
        <v>290</v>
      </c>
      <c r="F434" s="897">
        <v>844</v>
      </c>
      <c r="G434" s="1" t="s">
        <v>5024</v>
      </c>
      <c r="H434" s="1698">
        <v>12</v>
      </c>
      <c r="I434" s="8"/>
    </row>
    <row r="435" spans="3:9" ht="14.25" outlineLevel="2">
      <c r="C435" s="1782">
        <v>41120</v>
      </c>
      <c r="D435" s="897" t="s">
        <v>3212</v>
      </c>
      <c r="E435" s="897" t="s">
        <v>290</v>
      </c>
      <c r="F435" s="897">
        <v>844</v>
      </c>
      <c r="G435" s="1" t="s">
        <v>5024</v>
      </c>
      <c r="H435" s="1698">
        <v>12</v>
      </c>
      <c r="I435" s="8"/>
    </row>
    <row r="436" spans="3:9" ht="14.25" outlineLevel="2">
      <c r="C436" s="1782">
        <v>41120</v>
      </c>
      <c r="D436" s="897" t="s">
        <v>3211</v>
      </c>
      <c r="E436" s="897" t="s">
        <v>290</v>
      </c>
      <c r="F436" s="897">
        <v>843</v>
      </c>
      <c r="G436" s="1" t="s">
        <v>5024</v>
      </c>
      <c r="H436" s="1698">
        <v>12</v>
      </c>
      <c r="I436" s="8"/>
    </row>
    <row r="437" spans="3:9" ht="14.25" outlineLevel="2">
      <c r="C437" s="1782">
        <v>41120</v>
      </c>
      <c r="D437" s="897" t="s">
        <v>645</v>
      </c>
      <c r="E437" s="897" t="s">
        <v>290</v>
      </c>
      <c r="F437" s="897">
        <v>844</v>
      </c>
      <c r="G437" s="1" t="s">
        <v>5024</v>
      </c>
      <c r="H437" s="1698">
        <v>12</v>
      </c>
      <c r="I437" s="8"/>
    </row>
    <row r="438" spans="3:9" ht="14.25" outlineLevel="2">
      <c r="C438" s="1782">
        <v>41120</v>
      </c>
      <c r="D438" s="897" t="s">
        <v>3213</v>
      </c>
      <c r="E438" s="897" t="s">
        <v>290</v>
      </c>
      <c r="F438" s="897">
        <v>844</v>
      </c>
      <c r="G438" s="1" t="s">
        <v>5024</v>
      </c>
      <c r="H438" s="1698">
        <v>12</v>
      </c>
      <c r="I438" s="8"/>
    </row>
    <row r="439" spans="3:9" ht="14.25" outlineLevel="2">
      <c r="C439" s="1782">
        <v>41121</v>
      </c>
      <c r="D439" s="897" t="s">
        <v>930</v>
      </c>
      <c r="E439" s="897" t="s">
        <v>290</v>
      </c>
      <c r="F439" s="897">
        <v>844</v>
      </c>
      <c r="G439" s="1" t="s">
        <v>5024</v>
      </c>
      <c r="H439" s="1698">
        <v>12</v>
      </c>
      <c r="I439" s="8"/>
    </row>
    <row r="440" spans="3:9" ht="14.25" outlineLevel="2">
      <c r="C440" s="1782">
        <v>41121</v>
      </c>
      <c r="D440" s="897" t="s">
        <v>933</v>
      </c>
      <c r="E440" s="897" t="s">
        <v>290</v>
      </c>
      <c r="F440" s="897">
        <v>844</v>
      </c>
      <c r="G440" s="1" t="s">
        <v>5024</v>
      </c>
      <c r="H440" s="1698">
        <v>12</v>
      </c>
      <c r="I440" s="8"/>
    </row>
    <row r="441" spans="3:9" ht="14.25" outlineLevel="2">
      <c r="C441" s="1782">
        <v>41121</v>
      </c>
      <c r="D441" s="897" t="s">
        <v>931</v>
      </c>
      <c r="E441" s="897" t="s">
        <v>290</v>
      </c>
      <c r="F441" s="897">
        <v>844</v>
      </c>
      <c r="G441" s="1" t="s">
        <v>5024</v>
      </c>
      <c r="H441" s="1698">
        <v>12</v>
      </c>
      <c r="I441" s="8"/>
    </row>
    <row r="442" spans="3:9" ht="14.25" outlineLevel="2">
      <c r="C442" s="1782">
        <v>41121</v>
      </c>
      <c r="D442" s="897" t="s">
        <v>932</v>
      </c>
      <c r="E442" s="897" t="s">
        <v>290</v>
      </c>
      <c r="F442" s="897">
        <v>843</v>
      </c>
      <c r="G442" s="1" t="s">
        <v>5024</v>
      </c>
      <c r="H442" s="1698">
        <v>12</v>
      </c>
      <c r="I442" s="8"/>
    </row>
    <row r="443" spans="3:9" ht="15" outlineLevel="1">
      <c r="C443" s="1782"/>
      <c r="D443" s="897"/>
      <c r="E443" s="1709" t="s">
        <v>1571</v>
      </c>
      <c r="F443" s="1786" t="s">
        <v>2485</v>
      </c>
      <c r="G443" s="1787"/>
      <c r="H443" s="1701">
        <f>SUBTOTAL(9,H432:H442)</f>
        <v>132</v>
      </c>
      <c r="I443" s="8"/>
    </row>
    <row r="444" spans="3:9" ht="14.25" outlineLevel="2">
      <c r="C444" s="1782">
        <v>41120</v>
      </c>
      <c r="D444" s="897" t="s">
        <v>1507</v>
      </c>
      <c r="E444" s="897" t="s">
        <v>3054</v>
      </c>
      <c r="F444" s="897">
        <v>844</v>
      </c>
      <c r="G444" s="1" t="s">
        <v>5024</v>
      </c>
      <c r="H444" s="1698">
        <v>12</v>
      </c>
      <c r="I444" s="8"/>
    </row>
    <row r="445" spans="3:9" ht="14.25" outlineLevel="2">
      <c r="C445" s="1782">
        <v>41120</v>
      </c>
      <c r="D445" s="897" t="s">
        <v>3208</v>
      </c>
      <c r="E445" s="897" t="s">
        <v>3054</v>
      </c>
      <c r="F445" s="897">
        <v>844</v>
      </c>
      <c r="G445" s="1" t="s">
        <v>5024</v>
      </c>
      <c r="H445" s="1698">
        <v>12</v>
      </c>
      <c r="I445" s="8"/>
    </row>
    <row r="446" spans="3:9" ht="14.25" outlineLevel="2">
      <c r="C446" s="1782">
        <v>41120</v>
      </c>
      <c r="D446" s="897" t="s">
        <v>3209</v>
      </c>
      <c r="E446" s="897" t="s">
        <v>3054</v>
      </c>
      <c r="F446" s="897">
        <v>844</v>
      </c>
      <c r="G446" s="1" t="s">
        <v>5024</v>
      </c>
      <c r="H446" s="1698">
        <v>12</v>
      </c>
      <c r="I446" s="8"/>
    </row>
    <row r="447" spans="3:9" ht="14.25" outlineLevel="2">
      <c r="C447" s="1782">
        <v>41120</v>
      </c>
      <c r="D447" s="897" t="s">
        <v>1506</v>
      </c>
      <c r="E447" s="897" t="s">
        <v>3054</v>
      </c>
      <c r="F447" s="897">
        <v>844</v>
      </c>
      <c r="G447" s="1" t="s">
        <v>5024</v>
      </c>
      <c r="H447" s="1698">
        <v>12</v>
      </c>
      <c r="I447" s="8"/>
    </row>
    <row r="448" spans="3:9" ht="14.25" outlineLevel="2">
      <c r="C448" s="1782">
        <v>41120</v>
      </c>
      <c r="D448" s="897" t="s">
        <v>4232</v>
      </c>
      <c r="E448" s="897" t="s">
        <v>3054</v>
      </c>
      <c r="F448" s="897">
        <v>844</v>
      </c>
      <c r="G448" s="1" t="s">
        <v>5024</v>
      </c>
      <c r="H448" s="1698">
        <v>12</v>
      </c>
      <c r="I448" s="8"/>
    </row>
    <row r="449" spans="3:9" ht="14.25" outlineLevel="2">
      <c r="C449" s="1782">
        <v>41120</v>
      </c>
      <c r="D449" s="897" t="s">
        <v>3830</v>
      </c>
      <c r="E449" s="897" t="s">
        <v>3054</v>
      </c>
      <c r="F449" s="897">
        <v>844</v>
      </c>
      <c r="G449" s="1" t="s">
        <v>5024</v>
      </c>
      <c r="H449" s="1698">
        <v>12</v>
      </c>
      <c r="I449" s="8"/>
    </row>
    <row r="450" spans="3:9" ht="14.25" outlineLevel="2">
      <c r="C450" s="1782">
        <v>41121</v>
      </c>
      <c r="D450" s="897" t="s">
        <v>1573</v>
      </c>
      <c r="E450" s="897" t="s">
        <v>3054</v>
      </c>
      <c r="F450" s="897">
        <v>844</v>
      </c>
      <c r="G450" s="1" t="s">
        <v>5024</v>
      </c>
      <c r="H450" s="1698">
        <v>12</v>
      </c>
      <c r="I450" s="8"/>
    </row>
    <row r="451" spans="3:9" ht="14.25" outlineLevel="2">
      <c r="C451" s="1782">
        <v>41121</v>
      </c>
      <c r="D451" s="897" t="s">
        <v>1572</v>
      </c>
      <c r="E451" s="897" t="s">
        <v>3054</v>
      </c>
      <c r="F451" s="897">
        <v>844</v>
      </c>
      <c r="G451" s="1" t="s">
        <v>5024</v>
      </c>
      <c r="H451" s="1698">
        <v>12</v>
      </c>
      <c r="I451" s="8"/>
    </row>
    <row r="452" spans="3:9" ht="14.25" outlineLevel="2">
      <c r="C452" s="1782">
        <v>41121</v>
      </c>
      <c r="D452" s="897" t="s">
        <v>611</v>
      </c>
      <c r="E452" s="897" t="s">
        <v>3054</v>
      </c>
      <c r="F452" s="897">
        <v>844</v>
      </c>
      <c r="G452" s="1" t="s">
        <v>5024</v>
      </c>
      <c r="H452" s="1698">
        <v>12</v>
      </c>
      <c r="I452" s="8"/>
    </row>
    <row r="453" spans="3:9" ht="14.25" outlineLevel="2">
      <c r="C453" s="1782">
        <v>41121</v>
      </c>
      <c r="D453" s="897" t="s">
        <v>4477</v>
      </c>
      <c r="E453" s="897" t="s">
        <v>3054</v>
      </c>
      <c r="F453" s="897">
        <v>844</v>
      </c>
      <c r="G453" s="1" t="s">
        <v>5024</v>
      </c>
      <c r="H453" s="1698">
        <v>12</v>
      </c>
      <c r="I453" s="8"/>
    </row>
    <row r="454" spans="3:9" ht="15" outlineLevel="1">
      <c r="C454" s="1782"/>
      <c r="D454" s="897"/>
      <c r="E454" s="1709" t="s">
        <v>311</v>
      </c>
      <c r="F454" s="1786" t="s">
        <v>25</v>
      </c>
      <c r="G454" s="1787"/>
      <c r="H454" s="1701">
        <f>SUBTOTAL(9,H444:H453)</f>
        <v>120</v>
      </c>
      <c r="I454" s="8"/>
    </row>
    <row r="455" spans="3:9" ht="14.25" outlineLevel="2">
      <c r="C455" s="1782">
        <v>41120</v>
      </c>
      <c r="D455" s="897" t="s">
        <v>1504</v>
      </c>
      <c r="E455" s="897" t="s">
        <v>1913</v>
      </c>
      <c r="F455" s="897">
        <v>844</v>
      </c>
      <c r="G455" s="1" t="s">
        <v>5024</v>
      </c>
      <c r="H455" s="1698">
        <v>12</v>
      </c>
      <c r="I455" s="8"/>
    </row>
    <row r="456" spans="3:9" ht="14.25" outlineLevel="2">
      <c r="C456" s="1782">
        <v>41120</v>
      </c>
      <c r="D456" s="897" t="s">
        <v>1505</v>
      </c>
      <c r="E456" s="897" t="s">
        <v>1913</v>
      </c>
      <c r="F456" s="897">
        <v>844</v>
      </c>
      <c r="G456" s="1" t="s">
        <v>5024</v>
      </c>
      <c r="H456" s="1698">
        <v>12</v>
      </c>
      <c r="I456" s="8"/>
    </row>
    <row r="457" spans="3:9" ht="14.25" outlineLevel="2">
      <c r="C457" s="1782">
        <v>41120</v>
      </c>
      <c r="D457" s="897" t="s">
        <v>1503</v>
      </c>
      <c r="E457" s="897" t="s">
        <v>1913</v>
      </c>
      <c r="F457" s="897">
        <v>844</v>
      </c>
      <c r="G457" s="1" t="s">
        <v>5024</v>
      </c>
      <c r="H457" s="1698">
        <v>12</v>
      </c>
      <c r="I457" s="8"/>
    </row>
    <row r="458" spans="3:9" ht="14.25" outlineLevel="2">
      <c r="C458" s="1782">
        <v>41120</v>
      </c>
      <c r="D458" s="897" t="s">
        <v>1502</v>
      </c>
      <c r="E458" s="897" t="s">
        <v>1913</v>
      </c>
      <c r="F458" s="897">
        <v>844</v>
      </c>
      <c r="G458" s="1" t="s">
        <v>5024</v>
      </c>
      <c r="H458" s="1698">
        <v>12</v>
      </c>
      <c r="I458" s="8"/>
    </row>
    <row r="459" spans="3:9" ht="15" outlineLevel="1">
      <c r="C459" s="1782"/>
      <c r="D459" s="897"/>
      <c r="E459" s="1709" t="s">
        <v>3882</v>
      </c>
      <c r="F459" s="1786" t="s">
        <v>228</v>
      </c>
      <c r="G459" s="1787"/>
      <c r="H459" s="1701">
        <f>SUBTOTAL(9,H455:H458)-12</f>
        <v>36</v>
      </c>
      <c r="I459" s="8"/>
    </row>
    <row r="460" spans="3:9" ht="14.25" outlineLevel="2">
      <c r="C460" s="1782">
        <v>41115</v>
      </c>
      <c r="D460" s="897" t="s">
        <v>1723</v>
      </c>
      <c r="E460" s="897" t="s">
        <v>2442</v>
      </c>
      <c r="F460" s="897">
        <v>843</v>
      </c>
      <c r="G460" s="1" t="s">
        <v>5024</v>
      </c>
      <c r="H460" s="1698">
        <v>12</v>
      </c>
      <c r="I460" s="472" t="s">
        <v>1913</v>
      </c>
    </row>
    <row r="461" spans="3:9" ht="14.25" outlineLevel="2">
      <c r="C461" s="1782">
        <v>41120</v>
      </c>
      <c r="D461" s="897" t="s">
        <v>2185</v>
      </c>
      <c r="E461" s="897" t="s">
        <v>2442</v>
      </c>
      <c r="F461" s="897">
        <v>844</v>
      </c>
      <c r="G461" s="1" t="s">
        <v>5024</v>
      </c>
      <c r="H461" s="1698">
        <v>12</v>
      </c>
      <c r="I461" s="8"/>
    </row>
    <row r="462" spans="3:9" ht="14.25" outlineLevel="2">
      <c r="C462" s="1782">
        <v>41120</v>
      </c>
      <c r="D462" s="897" t="s">
        <v>2188</v>
      </c>
      <c r="E462" s="897" t="s">
        <v>2442</v>
      </c>
      <c r="F462" s="897">
        <v>844</v>
      </c>
      <c r="G462" s="1" t="s">
        <v>5024</v>
      </c>
      <c r="H462" s="1698">
        <v>12</v>
      </c>
      <c r="I462" s="8"/>
    </row>
    <row r="463" spans="3:9" ht="14.25" outlineLevel="2">
      <c r="C463" s="1782">
        <v>41120</v>
      </c>
      <c r="D463" s="897" t="s">
        <v>2184</v>
      </c>
      <c r="E463" s="897" t="s">
        <v>2442</v>
      </c>
      <c r="F463" s="897">
        <v>844</v>
      </c>
      <c r="G463" s="1" t="s">
        <v>5024</v>
      </c>
      <c r="H463" s="1698">
        <v>12</v>
      </c>
      <c r="I463" s="8"/>
    </row>
    <row r="464" spans="3:9" ht="14.25" outlineLevel="2">
      <c r="C464" s="1782">
        <v>41120</v>
      </c>
      <c r="D464" s="897" t="s">
        <v>2186</v>
      </c>
      <c r="E464" s="897" t="s">
        <v>2442</v>
      </c>
      <c r="F464" s="897">
        <v>844</v>
      </c>
      <c r="G464" s="1" t="s">
        <v>5024</v>
      </c>
      <c r="H464" s="1698">
        <v>12</v>
      </c>
      <c r="I464" s="8"/>
    </row>
    <row r="465" spans="3:9" ht="14.25" outlineLevel="2">
      <c r="C465" s="1782">
        <v>41120</v>
      </c>
      <c r="D465" s="897" t="s">
        <v>2187</v>
      </c>
      <c r="E465" s="897" t="s">
        <v>2442</v>
      </c>
      <c r="F465" s="897">
        <v>844</v>
      </c>
      <c r="G465" s="1" t="s">
        <v>5024</v>
      </c>
      <c r="H465" s="1698">
        <v>12</v>
      </c>
      <c r="I465" s="8"/>
    </row>
    <row r="466" spans="3:9" ht="14.25" outlineLevel="2">
      <c r="C466" s="1782">
        <v>41120</v>
      </c>
      <c r="D466" s="897" t="s">
        <v>2183</v>
      </c>
      <c r="E466" s="897" t="s">
        <v>2442</v>
      </c>
      <c r="F466" s="897">
        <v>844</v>
      </c>
      <c r="G466" s="1" t="s">
        <v>5024</v>
      </c>
      <c r="H466" s="1698">
        <v>12</v>
      </c>
      <c r="I466" s="8"/>
    </row>
    <row r="467" spans="3:9" ht="14.25" outlineLevel="2">
      <c r="C467" s="1782">
        <v>41121</v>
      </c>
      <c r="D467" s="897" t="s">
        <v>1933</v>
      </c>
      <c r="E467" s="897" t="s">
        <v>2442</v>
      </c>
      <c r="F467" s="897">
        <v>844</v>
      </c>
      <c r="G467" s="1" t="s">
        <v>5024</v>
      </c>
      <c r="H467" s="1698">
        <v>12</v>
      </c>
      <c r="I467" s="8"/>
    </row>
    <row r="468" spans="3:9" ht="14.25" outlineLevel="2">
      <c r="C468" s="1782">
        <v>41121</v>
      </c>
      <c r="D468" s="897" t="s">
        <v>1457</v>
      </c>
      <c r="E468" s="897" t="s">
        <v>2442</v>
      </c>
      <c r="F468" s="897">
        <v>844</v>
      </c>
      <c r="G468" s="1" t="s">
        <v>5024</v>
      </c>
      <c r="H468" s="1698">
        <v>12</v>
      </c>
      <c r="I468" s="8"/>
    </row>
    <row r="469" spans="3:9" ht="14.25" outlineLevel="2">
      <c r="C469" s="1782">
        <v>41121</v>
      </c>
      <c r="D469" s="897" t="s">
        <v>2935</v>
      </c>
      <c r="E469" s="897" t="s">
        <v>2442</v>
      </c>
      <c r="F469" s="897">
        <v>844</v>
      </c>
      <c r="G469" s="1" t="s">
        <v>5024</v>
      </c>
      <c r="H469" s="1698">
        <v>12</v>
      </c>
      <c r="I469" s="8"/>
    </row>
    <row r="470" spans="3:9" ht="14.25" outlineLevel="2">
      <c r="C470" s="1782">
        <v>41121</v>
      </c>
      <c r="D470" s="897" t="s">
        <v>3126</v>
      </c>
      <c r="E470" s="897" t="s">
        <v>2442</v>
      </c>
      <c r="F470" s="897">
        <v>844</v>
      </c>
      <c r="G470" s="1" t="s">
        <v>5024</v>
      </c>
      <c r="H470" s="1698">
        <v>12</v>
      </c>
      <c r="I470" s="8"/>
    </row>
    <row r="471" spans="3:9" ht="15" outlineLevel="1">
      <c r="C471" s="1782"/>
      <c r="D471" s="897"/>
      <c r="E471" s="1709" t="s">
        <v>3872</v>
      </c>
      <c r="F471" s="1786" t="s">
        <v>1100</v>
      </c>
      <c r="G471" s="1787"/>
      <c r="H471" s="1701">
        <f>SUBTOTAL(9,H460:H470)</f>
        <v>132</v>
      </c>
      <c r="I471" s="8"/>
    </row>
    <row r="472" spans="3:9" ht="14.25" outlineLevel="2">
      <c r="C472" s="1782">
        <v>41120</v>
      </c>
      <c r="D472" s="897" t="s">
        <v>4631</v>
      </c>
      <c r="E472" s="897" t="s">
        <v>3050</v>
      </c>
      <c r="F472" s="897">
        <v>844</v>
      </c>
      <c r="G472" s="1" t="s">
        <v>5024</v>
      </c>
      <c r="H472" s="1698">
        <v>12</v>
      </c>
      <c r="I472" s="8"/>
    </row>
    <row r="473" spans="3:9" ht="14.25" outlineLevel="2">
      <c r="C473" s="1782">
        <v>41120</v>
      </c>
      <c r="D473" s="897" t="s">
        <v>539</v>
      </c>
      <c r="E473" s="897" t="s">
        <v>3050</v>
      </c>
      <c r="F473" s="897">
        <v>844</v>
      </c>
      <c r="G473" s="1" t="s">
        <v>5024</v>
      </c>
      <c r="H473" s="1698">
        <v>12</v>
      </c>
      <c r="I473" s="8"/>
    </row>
    <row r="474" spans="3:9" ht="14.25" outlineLevel="2">
      <c r="C474" s="1782">
        <v>41120</v>
      </c>
      <c r="D474" s="897" t="s">
        <v>540</v>
      </c>
      <c r="E474" s="897" t="s">
        <v>3050</v>
      </c>
      <c r="F474" s="897">
        <v>844</v>
      </c>
      <c r="G474" s="1" t="s">
        <v>5024</v>
      </c>
      <c r="H474" s="1698">
        <v>12</v>
      </c>
      <c r="I474" s="8"/>
    </row>
    <row r="475" spans="3:9" ht="14.25" outlineLevel="2">
      <c r="C475" s="1782">
        <v>41120</v>
      </c>
      <c r="D475" s="897" t="s">
        <v>2463</v>
      </c>
      <c r="E475" s="897" t="s">
        <v>3050</v>
      </c>
      <c r="F475" s="897">
        <v>844</v>
      </c>
      <c r="G475" s="1" t="s">
        <v>5024</v>
      </c>
      <c r="H475" s="1698">
        <v>12</v>
      </c>
      <c r="I475" s="8"/>
    </row>
    <row r="476" spans="3:9" ht="14.25" outlineLevel="2">
      <c r="C476" s="1782">
        <v>41120</v>
      </c>
      <c r="D476" s="897" t="s">
        <v>5026</v>
      </c>
      <c r="E476" s="897" t="s">
        <v>3050</v>
      </c>
      <c r="F476" s="897">
        <v>844</v>
      </c>
      <c r="G476" s="1" t="s">
        <v>5024</v>
      </c>
      <c r="H476" s="1698">
        <v>12</v>
      </c>
      <c r="I476" s="8"/>
    </row>
    <row r="477" spans="3:9" ht="14.25" outlineLevel="2">
      <c r="C477" s="1782">
        <v>41120</v>
      </c>
      <c r="D477" s="897" t="s">
        <v>2462</v>
      </c>
      <c r="E477" s="897" t="s">
        <v>3050</v>
      </c>
      <c r="F477" s="897">
        <v>844</v>
      </c>
      <c r="G477" s="1" t="s">
        <v>5024</v>
      </c>
      <c r="H477" s="1698">
        <v>12</v>
      </c>
      <c r="I477" s="8"/>
    </row>
    <row r="478" spans="3:9" ht="14.25" outlineLevel="2">
      <c r="C478" s="1782">
        <v>41121</v>
      </c>
      <c r="D478" s="897" t="s">
        <v>254</v>
      </c>
      <c r="E478" s="897" t="s">
        <v>3050</v>
      </c>
      <c r="F478" s="897">
        <v>844</v>
      </c>
      <c r="G478" s="1" t="s">
        <v>5024</v>
      </c>
      <c r="H478" s="1698">
        <v>12</v>
      </c>
      <c r="I478" s="8"/>
    </row>
    <row r="479" spans="3:9" ht="14.25" outlineLevel="2">
      <c r="C479" s="1782">
        <v>41121</v>
      </c>
      <c r="D479" s="897" t="s">
        <v>253</v>
      </c>
      <c r="E479" s="897" t="s">
        <v>3050</v>
      </c>
      <c r="F479" s="897">
        <v>844</v>
      </c>
      <c r="G479" s="1" t="s">
        <v>5024</v>
      </c>
      <c r="H479" s="1698">
        <v>12</v>
      </c>
      <c r="I479" s="8"/>
    </row>
    <row r="480" spans="3:9" ht="14.25" outlineLevel="2">
      <c r="C480" s="1782">
        <v>41121</v>
      </c>
      <c r="D480" s="897" t="s">
        <v>2934</v>
      </c>
      <c r="E480" s="897" t="s">
        <v>3050</v>
      </c>
      <c r="F480" s="897">
        <v>844</v>
      </c>
      <c r="G480" s="1" t="s">
        <v>5024</v>
      </c>
      <c r="H480" s="1698">
        <v>12</v>
      </c>
      <c r="I480" s="8"/>
    </row>
    <row r="481" spans="3:9" ht="15" outlineLevel="1">
      <c r="C481" s="1782"/>
      <c r="D481" s="897"/>
      <c r="E481" s="1709" t="s">
        <v>4724</v>
      </c>
      <c r="F481" s="1786" t="s">
        <v>4023</v>
      </c>
      <c r="G481" s="1787"/>
      <c r="H481" s="1701">
        <f>SUBTOTAL(9,H472:H480)</f>
        <v>108</v>
      </c>
      <c r="I481" s="8"/>
    </row>
    <row r="482" spans="3:9" ht="14.25" outlineLevel="2">
      <c r="C482" s="1782">
        <v>41120</v>
      </c>
      <c r="D482" s="897" t="s">
        <v>1014</v>
      </c>
      <c r="E482" s="897" t="s">
        <v>3052</v>
      </c>
      <c r="F482" s="897">
        <v>844</v>
      </c>
      <c r="G482" s="1" t="s">
        <v>5024</v>
      </c>
      <c r="H482" s="1698">
        <v>12</v>
      </c>
      <c r="I482" s="8"/>
    </row>
    <row r="483" spans="3:9" ht="14.25" outlineLevel="2">
      <c r="C483" s="1782">
        <v>41120</v>
      </c>
      <c r="D483" s="897" t="s">
        <v>1750</v>
      </c>
      <c r="E483" s="897" t="s">
        <v>3052</v>
      </c>
      <c r="F483" s="897">
        <v>844</v>
      </c>
      <c r="G483" s="1" t="s">
        <v>5024</v>
      </c>
      <c r="H483" s="1698">
        <v>12</v>
      </c>
      <c r="I483" s="8"/>
    </row>
    <row r="484" spans="3:9" ht="14.25" outlineLevel="2">
      <c r="C484" s="1782">
        <v>41120</v>
      </c>
      <c r="D484" s="897" t="s">
        <v>536</v>
      </c>
      <c r="E484" s="897" t="s">
        <v>3052</v>
      </c>
      <c r="F484" s="897">
        <v>844</v>
      </c>
      <c r="G484" s="1" t="s">
        <v>5024</v>
      </c>
      <c r="H484" s="1698">
        <v>12</v>
      </c>
      <c r="I484" s="8"/>
    </row>
    <row r="485" spans="3:9" ht="14.25" outlineLevel="2">
      <c r="C485" s="1782">
        <v>41120</v>
      </c>
      <c r="D485" s="897" t="s">
        <v>527</v>
      </c>
      <c r="E485" s="897" t="s">
        <v>3052</v>
      </c>
      <c r="F485" s="897">
        <v>844</v>
      </c>
      <c r="G485" s="1" t="s">
        <v>5024</v>
      </c>
      <c r="H485" s="1698">
        <v>12</v>
      </c>
      <c r="I485" s="8"/>
    </row>
    <row r="486" spans="3:9" ht="14.25" outlineLevel="2">
      <c r="C486" s="1782">
        <v>41120</v>
      </c>
      <c r="D486" s="897" t="s">
        <v>538</v>
      </c>
      <c r="E486" s="897" t="s">
        <v>3052</v>
      </c>
      <c r="F486" s="897">
        <v>844</v>
      </c>
      <c r="G486" s="1" t="s">
        <v>5024</v>
      </c>
      <c r="H486" s="1698">
        <v>12</v>
      </c>
      <c r="I486" s="8"/>
    </row>
    <row r="487" spans="3:9" ht="14.25" outlineLevel="2">
      <c r="C487" s="1782">
        <v>41120</v>
      </c>
      <c r="D487" s="897" t="s">
        <v>537</v>
      </c>
      <c r="E487" s="897" t="s">
        <v>3052</v>
      </c>
      <c r="F487" s="897">
        <v>844</v>
      </c>
      <c r="G487" s="1" t="s">
        <v>5024</v>
      </c>
      <c r="H487" s="1698">
        <v>12</v>
      </c>
      <c r="I487" s="8"/>
    </row>
    <row r="488" spans="3:9" ht="14.25" outlineLevel="2">
      <c r="C488" s="1782">
        <v>41121</v>
      </c>
      <c r="D488" s="897" t="s">
        <v>252</v>
      </c>
      <c r="E488" s="897" t="s">
        <v>3052</v>
      </c>
      <c r="F488" s="897">
        <v>844</v>
      </c>
      <c r="G488" s="1" t="s">
        <v>5024</v>
      </c>
      <c r="H488" s="1698">
        <v>12</v>
      </c>
      <c r="I488" s="8"/>
    </row>
    <row r="489" spans="3:9" ht="14.25" outlineLevel="2">
      <c r="C489" s="1782">
        <v>41121</v>
      </c>
      <c r="D489" s="897" t="s">
        <v>1262</v>
      </c>
      <c r="E489" s="897" t="s">
        <v>3052</v>
      </c>
      <c r="F489" s="897">
        <v>844</v>
      </c>
      <c r="G489" s="1" t="s">
        <v>5024</v>
      </c>
      <c r="H489" s="1698">
        <v>12</v>
      </c>
      <c r="I489" s="8"/>
    </row>
    <row r="490" spans="3:9" ht="14.25" outlineLevel="2">
      <c r="C490" s="1782">
        <v>41121</v>
      </c>
      <c r="D490" s="897" t="s">
        <v>1263</v>
      </c>
      <c r="E490" s="897" t="s">
        <v>3052</v>
      </c>
      <c r="F490" s="897">
        <v>844</v>
      </c>
      <c r="G490" s="1" t="s">
        <v>5024</v>
      </c>
      <c r="H490" s="1698">
        <v>12</v>
      </c>
      <c r="I490" s="8"/>
    </row>
    <row r="491" spans="3:9" ht="15" outlineLevel="1">
      <c r="C491" s="1782"/>
      <c r="D491" s="897"/>
      <c r="E491" s="1709" t="s">
        <v>3068</v>
      </c>
      <c r="F491" s="1786" t="s">
        <v>976</v>
      </c>
      <c r="G491" s="1787"/>
      <c r="H491" s="1701">
        <f>SUBTOTAL(9,H482:H490)</f>
        <v>108</v>
      </c>
      <c r="I491" s="8"/>
    </row>
    <row r="492" spans="3:9" ht="14.25" outlineLevel="2">
      <c r="C492" s="1782">
        <v>41120</v>
      </c>
      <c r="D492" s="897" t="s">
        <v>4492</v>
      </c>
      <c r="E492" s="897" t="s">
        <v>1527</v>
      </c>
      <c r="F492" s="897">
        <v>844</v>
      </c>
      <c r="G492" s="1" t="s">
        <v>5024</v>
      </c>
      <c r="H492" s="1698">
        <v>12</v>
      </c>
      <c r="I492" s="8"/>
    </row>
    <row r="493" spans="3:9" ht="14.25" outlineLevel="2">
      <c r="C493" s="1782">
        <v>41120</v>
      </c>
      <c r="D493" s="897" t="s">
        <v>1545</v>
      </c>
      <c r="E493" s="897" t="s">
        <v>1527</v>
      </c>
      <c r="F493" s="897">
        <v>844</v>
      </c>
      <c r="G493" s="1" t="s">
        <v>5024</v>
      </c>
      <c r="H493" s="1698">
        <v>12</v>
      </c>
      <c r="I493" s="8"/>
    </row>
    <row r="494" spans="3:9" ht="14.25" outlineLevel="2">
      <c r="C494" s="1782">
        <v>41120</v>
      </c>
      <c r="D494" s="897" t="s">
        <v>2299</v>
      </c>
      <c r="E494" s="897" t="s">
        <v>1527</v>
      </c>
      <c r="F494" s="897">
        <v>844</v>
      </c>
      <c r="G494" s="1" t="s">
        <v>5024</v>
      </c>
      <c r="H494" s="1698">
        <v>12</v>
      </c>
      <c r="I494" s="8"/>
    </row>
    <row r="495" spans="3:9" ht="14.25" outlineLevel="2">
      <c r="C495" s="1782">
        <v>41120</v>
      </c>
      <c r="D495" s="897" t="s">
        <v>4188</v>
      </c>
      <c r="E495" s="897" t="s">
        <v>1527</v>
      </c>
      <c r="F495" s="897">
        <v>844</v>
      </c>
      <c r="G495" s="1" t="s">
        <v>5024</v>
      </c>
      <c r="H495" s="1698">
        <v>12</v>
      </c>
      <c r="I495" s="8"/>
    </row>
    <row r="496" spans="3:9" ht="14.25" outlineLevel="2">
      <c r="C496" s="1782">
        <v>41120</v>
      </c>
      <c r="D496" s="897" t="s">
        <v>2298</v>
      </c>
      <c r="E496" s="897" t="s">
        <v>1527</v>
      </c>
      <c r="F496" s="897">
        <v>844</v>
      </c>
      <c r="G496" s="1" t="s">
        <v>5024</v>
      </c>
      <c r="H496" s="1698">
        <v>12</v>
      </c>
      <c r="I496" s="8"/>
    </row>
    <row r="497" spans="3:9" ht="14.25" outlineLevel="2">
      <c r="C497" s="1782">
        <v>41121</v>
      </c>
      <c r="D497" s="897" t="s">
        <v>1261</v>
      </c>
      <c r="E497" s="897" t="s">
        <v>1527</v>
      </c>
      <c r="F497" s="897">
        <v>844</v>
      </c>
      <c r="G497" s="1" t="s">
        <v>5024</v>
      </c>
      <c r="H497" s="1698">
        <v>12</v>
      </c>
      <c r="I497" s="8"/>
    </row>
    <row r="498" spans="3:9" ht="14.25" outlineLevel="2">
      <c r="C498" s="1782">
        <v>41121</v>
      </c>
      <c r="D498" s="897" t="s">
        <v>4994</v>
      </c>
      <c r="E498" s="897" t="s">
        <v>1527</v>
      </c>
      <c r="F498" s="897">
        <v>844</v>
      </c>
      <c r="G498" s="1" t="s">
        <v>5024</v>
      </c>
      <c r="H498" s="1698">
        <v>12</v>
      </c>
      <c r="I498" s="8"/>
    </row>
    <row r="499" spans="3:9" ht="14.25" outlineLevel="2">
      <c r="C499" s="1782">
        <v>41121</v>
      </c>
      <c r="D499" s="897" t="s">
        <v>1260</v>
      </c>
      <c r="E499" s="897" t="s">
        <v>1527</v>
      </c>
      <c r="F499" s="897">
        <v>844</v>
      </c>
      <c r="G499" s="1" t="s">
        <v>5024</v>
      </c>
      <c r="H499" s="1698">
        <v>12</v>
      </c>
      <c r="I499" s="8"/>
    </row>
    <row r="500" spans="3:9" ht="15" outlineLevel="1">
      <c r="C500" s="1782"/>
      <c r="D500" s="897"/>
      <c r="E500" s="1709" t="s">
        <v>3871</v>
      </c>
      <c r="F500" s="1786" t="s">
        <v>3603</v>
      </c>
      <c r="G500" s="1787"/>
      <c r="H500" s="1701">
        <f>SUBTOTAL(9,H492:H499)</f>
        <v>96</v>
      </c>
      <c r="I500" s="8"/>
    </row>
    <row r="501" spans="3:9" ht="14.25" outlineLevel="2">
      <c r="C501" s="1782">
        <v>41120</v>
      </c>
      <c r="D501" s="897" t="s">
        <v>3234</v>
      </c>
      <c r="E501" s="897" t="s">
        <v>728</v>
      </c>
      <c r="F501" s="897">
        <v>844</v>
      </c>
      <c r="G501" s="1" t="s">
        <v>5024</v>
      </c>
      <c r="H501" s="1698">
        <v>12</v>
      </c>
      <c r="I501" s="8"/>
    </row>
    <row r="502" spans="3:9" ht="14.25" outlineLevel="2">
      <c r="C502" s="1782">
        <v>41120</v>
      </c>
      <c r="D502" s="897" t="s">
        <v>3236</v>
      </c>
      <c r="E502" s="897" t="s">
        <v>728</v>
      </c>
      <c r="F502" s="897">
        <v>844</v>
      </c>
      <c r="G502" s="1" t="s">
        <v>5024</v>
      </c>
      <c r="H502" s="1698">
        <v>12</v>
      </c>
      <c r="I502" s="8"/>
    </row>
    <row r="503" spans="3:9" ht="14.25" outlineLevel="2">
      <c r="C503" s="1782">
        <v>41120</v>
      </c>
      <c r="D503" s="897" t="s">
        <v>4750</v>
      </c>
      <c r="E503" s="897" t="s">
        <v>728</v>
      </c>
      <c r="F503" s="897">
        <v>844</v>
      </c>
      <c r="G503" s="1" t="s">
        <v>5024</v>
      </c>
      <c r="H503" s="1698">
        <v>12</v>
      </c>
      <c r="I503" s="8"/>
    </row>
    <row r="504" spans="3:9" ht="14.25" outlineLevel="2">
      <c r="C504" s="1782">
        <v>41120</v>
      </c>
      <c r="D504" s="897" t="s">
        <v>3237</v>
      </c>
      <c r="E504" s="897" t="s">
        <v>728</v>
      </c>
      <c r="F504" s="897">
        <v>844</v>
      </c>
      <c r="G504" s="1" t="s">
        <v>5024</v>
      </c>
      <c r="H504" s="1698">
        <v>12</v>
      </c>
      <c r="I504" s="8"/>
    </row>
    <row r="505" spans="3:9" ht="14.25" outlineLevel="2">
      <c r="C505" s="1782">
        <v>41120</v>
      </c>
      <c r="D505" s="897" t="s">
        <v>3235</v>
      </c>
      <c r="E505" s="897" t="s">
        <v>728</v>
      </c>
      <c r="F505" s="897">
        <v>844</v>
      </c>
      <c r="G505" s="1" t="s">
        <v>5024</v>
      </c>
      <c r="H505" s="1698">
        <v>12</v>
      </c>
      <c r="I505" s="8"/>
    </row>
    <row r="506" spans="3:9" ht="14.25" outlineLevel="2">
      <c r="C506" s="1782">
        <v>41121</v>
      </c>
      <c r="D506" s="897" t="s">
        <v>3375</v>
      </c>
      <c r="E506" s="897" t="s">
        <v>728</v>
      </c>
      <c r="F506" s="897">
        <v>844</v>
      </c>
      <c r="G506" s="1" t="s">
        <v>5024</v>
      </c>
      <c r="H506" s="1698">
        <v>12</v>
      </c>
      <c r="I506" s="8"/>
    </row>
    <row r="507" spans="3:9" ht="14.25" outlineLevel="2">
      <c r="C507" s="1782">
        <v>41121</v>
      </c>
      <c r="D507" s="897" t="s">
        <v>4394</v>
      </c>
      <c r="E507" s="897" t="s">
        <v>728</v>
      </c>
      <c r="F507" s="897">
        <v>844</v>
      </c>
      <c r="G507" s="1" t="s">
        <v>5024</v>
      </c>
      <c r="H507" s="1698">
        <v>12</v>
      </c>
      <c r="I507" s="8"/>
    </row>
    <row r="508" spans="3:9" ht="14.25" outlineLevel="2">
      <c r="C508" s="1782">
        <v>41121</v>
      </c>
      <c r="D508" s="897" t="s">
        <v>4993</v>
      </c>
      <c r="E508" s="897" t="s">
        <v>728</v>
      </c>
      <c r="F508" s="897">
        <v>844</v>
      </c>
      <c r="G508" s="1" t="s">
        <v>5024</v>
      </c>
      <c r="H508" s="1698">
        <v>12</v>
      </c>
      <c r="I508" s="8"/>
    </row>
    <row r="509" spans="3:9" ht="15" outlineLevel="1">
      <c r="C509" s="1782"/>
      <c r="D509" s="897"/>
      <c r="E509" s="1709" t="s">
        <v>1152</v>
      </c>
      <c r="F509" s="1786" t="s">
        <v>227</v>
      </c>
      <c r="G509" s="1787"/>
      <c r="H509" s="1701">
        <f>SUBTOTAL(9,H501:H508)</f>
        <v>96</v>
      </c>
      <c r="I509" s="8"/>
    </row>
    <row r="510" spans="3:9" ht="15" outlineLevel="1">
      <c r="C510" s="1782"/>
      <c r="D510" s="897"/>
      <c r="E510" s="1783"/>
      <c r="F510" s="474"/>
      <c r="G510" s="1"/>
      <c r="H510" s="1698"/>
      <c r="I510" s="8"/>
    </row>
    <row r="511" spans="3:9" ht="15.75">
      <c r="C511" s="1782"/>
      <c r="D511" s="1716" t="s">
        <v>3261</v>
      </c>
      <c r="E511" s="1784"/>
      <c r="F511" s="1785"/>
      <c r="G511" s="1718">
        <f>+H409+H420+H431+H443+H454+H459+H471+H481+H491+H500+H509</f>
        <v>1104</v>
      </c>
      <c r="I511" s="8"/>
    </row>
    <row r="515" spans="2:14">
      <c r="E515">
        <v>10</v>
      </c>
      <c r="F515" s="1792">
        <v>10915</v>
      </c>
      <c r="G515" s="91">
        <f>+F515/E515</f>
        <v>1091.5</v>
      </c>
      <c r="H515" s="91"/>
      <c r="I515" s="91">
        <f>+F515</f>
        <v>10915</v>
      </c>
      <c r="J515" s="91">
        <v>2.62</v>
      </c>
      <c r="K515" s="91">
        <f>+I515/J515</f>
        <v>4166.0305343511445</v>
      </c>
      <c r="L515" s="91">
        <f>+K515/4</f>
        <v>1041.5076335877861</v>
      </c>
      <c r="M515" s="91"/>
      <c r="N515" s="91"/>
    </row>
    <row r="516" spans="2:14">
      <c r="E516">
        <v>2</v>
      </c>
      <c r="F516" s="1792">
        <v>2584.1999999999998</v>
      </c>
      <c r="G516" s="91">
        <f>+F516/E516</f>
        <v>1292.0999999999999</v>
      </c>
      <c r="H516" s="91"/>
      <c r="J516" s="91"/>
      <c r="K516" s="91"/>
      <c r="L516" s="91"/>
      <c r="M516" s="91"/>
      <c r="N516" s="91"/>
    </row>
    <row r="517" spans="2:14">
      <c r="E517">
        <v>8</v>
      </c>
      <c r="F517" s="1792">
        <v>11854.4</v>
      </c>
      <c r="G517" s="91">
        <f>+F517/E517</f>
        <v>1481.8</v>
      </c>
      <c r="H517" s="91"/>
      <c r="I517" s="91">
        <f>+F516+F517+0</f>
        <v>14438.599999999999</v>
      </c>
      <c r="J517" s="91">
        <v>2.62</v>
      </c>
      <c r="K517" s="91">
        <f>+I517/J517</f>
        <v>5510.9160305343503</v>
      </c>
      <c r="L517" s="91">
        <f>+K517/4</f>
        <v>1377.7290076335876</v>
      </c>
      <c r="M517" s="91"/>
      <c r="N517" s="91"/>
    </row>
    <row r="520" spans="2:14" ht="13.5" thickBot="1">
      <c r="E520" s="69">
        <v>41168</v>
      </c>
    </row>
    <row r="521" spans="2:14" ht="13.5" thickBot="1">
      <c r="B521" s="1810" t="s">
        <v>4617</v>
      </c>
      <c r="C521" s="1811" t="s">
        <v>91</v>
      </c>
      <c r="D521" s="1812" t="s">
        <v>905</v>
      </c>
      <c r="E521" s="211"/>
    </row>
    <row r="522" spans="2:14" ht="15">
      <c r="B522" s="1808">
        <v>10</v>
      </c>
      <c r="C522" s="1809" t="s">
        <v>3579</v>
      </c>
      <c r="D522" s="573"/>
      <c r="E522" s="144"/>
    </row>
    <row r="523" spans="2:14" ht="15">
      <c r="B523" s="1805">
        <v>10</v>
      </c>
      <c r="C523" s="1806" t="s">
        <v>291</v>
      </c>
      <c r="D523" s="537"/>
      <c r="E523" s="83"/>
    </row>
    <row r="524" spans="2:14" ht="15">
      <c r="B524" s="1805">
        <v>10</v>
      </c>
      <c r="C524" s="1806" t="s">
        <v>4226</v>
      </c>
      <c r="D524" s="537"/>
      <c r="E524" s="83"/>
    </row>
    <row r="525" spans="2:14" ht="15">
      <c r="B525" s="1805">
        <v>10</v>
      </c>
      <c r="C525" s="1806" t="s">
        <v>87</v>
      </c>
      <c r="D525" s="537"/>
      <c r="E525" s="83"/>
    </row>
    <row r="526" spans="2:14" ht="15">
      <c r="B526" s="1805">
        <v>10</v>
      </c>
      <c r="C526" s="1806">
        <v>9451</v>
      </c>
      <c r="D526" s="1807" t="s">
        <v>90</v>
      </c>
      <c r="E526" s="83"/>
    </row>
    <row r="527" spans="2:14" ht="15">
      <c r="B527" s="1805">
        <v>10</v>
      </c>
      <c r="C527" s="1806">
        <v>7430</v>
      </c>
      <c r="D527" s="1807" t="s">
        <v>90</v>
      </c>
      <c r="E527" s="83"/>
    </row>
    <row r="528" spans="2:14" ht="15">
      <c r="B528" s="1805">
        <v>10</v>
      </c>
      <c r="C528" s="1806" t="s">
        <v>88</v>
      </c>
      <c r="D528" s="537"/>
      <c r="E528" s="83"/>
    </row>
    <row r="529" spans="2:8" ht="15">
      <c r="B529" s="1805">
        <v>10</v>
      </c>
      <c r="C529" s="1806" t="s">
        <v>89</v>
      </c>
      <c r="D529" s="537"/>
      <c r="E529" s="83"/>
    </row>
    <row r="533" spans="2:8" ht="13.5" thickBot="1">
      <c r="D533" s="1825" t="s">
        <v>3152</v>
      </c>
      <c r="E533" s="1825"/>
      <c r="F533" s="1826" t="s">
        <v>4936</v>
      </c>
      <c r="G533" s="1827"/>
      <c r="H533" s="1828"/>
    </row>
    <row r="534" spans="2:8">
      <c r="D534" s="1829" t="s">
        <v>3646</v>
      </c>
      <c r="E534" s="1829"/>
      <c r="F534" s="1830">
        <v>191.12</v>
      </c>
      <c r="G534" s="1828" t="s">
        <v>3153</v>
      </c>
      <c r="H534" s="1828"/>
    </row>
    <row r="535" spans="2:8">
      <c r="D535" s="1829" t="s">
        <v>3154</v>
      </c>
      <c r="E535" s="1829"/>
      <c r="F535" s="1830">
        <v>213.82</v>
      </c>
      <c r="G535" s="1828" t="s">
        <v>4865</v>
      </c>
      <c r="H535" s="1828"/>
    </row>
    <row r="536" spans="2:8">
      <c r="D536" s="1829" t="s">
        <v>2056</v>
      </c>
      <c r="E536" s="1829"/>
      <c r="F536" s="1830">
        <v>192.75</v>
      </c>
      <c r="G536" s="1828" t="s">
        <v>3593</v>
      </c>
      <c r="H536" s="1828"/>
    </row>
    <row r="537" spans="2:8">
      <c r="D537" s="1829" t="s">
        <v>2645</v>
      </c>
      <c r="E537" s="1829"/>
      <c r="F537" s="1830">
        <v>215.33</v>
      </c>
      <c r="G537" s="1828" t="s">
        <v>5043</v>
      </c>
      <c r="H537" s="1828"/>
    </row>
    <row r="538" spans="2:8">
      <c r="D538" s="1829" t="s">
        <v>430</v>
      </c>
      <c r="E538" s="1829"/>
      <c r="F538" s="1830">
        <v>165.3</v>
      </c>
      <c r="G538" s="1828" t="s">
        <v>5002</v>
      </c>
      <c r="H538" s="1828"/>
    </row>
    <row r="539" spans="2:8">
      <c r="D539" s="1829" t="s">
        <v>781</v>
      </c>
      <c r="E539" s="1829"/>
      <c r="F539" s="1830">
        <v>198.36</v>
      </c>
      <c r="G539" s="502" t="s">
        <v>4178</v>
      </c>
      <c r="H539" s="1828"/>
    </row>
    <row r="540" spans="2:8">
      <c r="D540" s="1829" t="s">
        <v>3649</v>
      </c>
      <c r="E540" s="1829"/>
      <c r="F540" s="1830">
        <v>228.81</v>
      </c>
      <c r="G540" s="502" t="s">
        <v>4179</v>
      </c>
      <c r="H540" s="1828"/>
    </row>
    <row r="541" spans="2:8">
      <c r="D541" s="1831"/>
      <c r="E541" s="1831"/>
      <c r="F541" s="1832">
        <f>SUM(F534:F540)</f>
        <v>1405.4900000000002</v>
      </c>
      <c r="G541" s="1833"/>
      <c r="H541" s="1828"/>
    </row>
    <row r="542" spans="2:8">
      <c r="D542" s="1831"/>
      <c r="E542" s="1831"/>
      <c r="F542" s="1832"/>
      <c r="G542" s="1833"/>
      <c r="H542" s="1828"/>
    </row>
    <row r="543" spans="2:8">
      <c r="D543" s="502" t="s">
        <v>4180</v>
      </c>
      <c r="E543" s="1831"/>
      <c r="F543" s="1832">
        <v>150</v>
      </c>
      <c r="G543" s="1834" t="s">
        <v>1154</v>
      </c>
      <c r="H543" s="1828"/>
    </row>
    <row r="544" spans="2:8">
      <c r="D544" s="1835" t="s">
        <v>1403</v>
      </c>
      <c r="E544" s="1835"/>
      <c r="F544" s="1832">
        <v>390</v>
      </c>
      <c r="G544" s="1835" t="s">
        <v>1404</v>
      </c>
      <c r="H544" s="1836"/>
    </row>
    <row r="545" spans="3:9">
      <c r="D545"/>
      <c r="F545"/>
    </row>
    <row r="546" spans="3:9" ht="16.5">
      <c r="C546" s="1839" t="s">
        <v>2078</v>
      </c>
      <c r="D546" s="1840"/>
      <c r="E546" s="1841"/>
      <c r="F546" s="1842"/>
      <c r="G546" s="1843"/>
      <c r="H546" s="1843"/>
    </row>
    <row r="547" spans="3:9" ht="14.25" thickBot="1">
      <c r="C547" s="1844" t="s">
        <v>762</v>
      </c>
      <c r="D547" s="1845" t="s">
        <v>1984</v>
      </c>
      <c r="E547" s="1846" t="s">
        <v>2067</v>
      </c>
      <c r="F547" s="1844" t="s">
        <v>1702</v>
      </c>
      <c r="G547" s="1847" t="s">
        <v>1459</v>
      </c>
      <c r="H547" s="1845" t="s">
        <v>3372</v>
      </c>
      <c r="I547" s="1790" t="s">
        <v>2066</v>
      </c>
    </row>
    <row r="548" spans="3:9" ht="15.75" outlineLevel="2" thickTop="1">
      <c r="C548" s="1848">
        <v>41209</v>
      </c>
      <c r="D548" s="1849" t="s">
        <v>2437</v>
      </c>
      <c r="E548" s="1849" t="s">
        <v>5023</v>
      </c>
      <c r="F548" s="1849">
        <v>911</v>
      </c>
      <c r="G548" s="1850" t="s">
        <v>2436</v>
      </c>
      <c r="H548" s="1851">
        <v>12</v>
      </c>
    </row>
    <row r="549" spans="3:9" ht="15" outlineLevel="2">
      <c r="C549" s="1848">
        <v>41209</v>
      </c>
      <c r="D549" s="1849" t="s">
        <v>2438</v>
      </c>
      <c r="E549" s="1849" t="s">
        <v>5023</v>
      </c>
      <c r="F549" s="1849">
        <v>911</v>
      </c>
      <c r="G549" s="1850" t="s">
        <v>2436</v>
      </c>
      <c r="H549" s="1851">
        <v>12</v>
      </c>
    </row>
    <row r="550" spans="3:9" ht="15" outlineLevel="2">
      <c r="C550" s="1848">
        <v>41209</v>
      </c>
      <c r="D550" s="1849" t="s">
        <v>2439</v>
      </c>
      <c r="E550" s="1849" t="s">
        <v>5023</v>
      </c>
      <c r="F550" s="1849">
        <v>911</v>
      </c>
      <c r="G550" s="1850" t="s">
        <v>2436</v>
      </c>
      <c r="H550" s="1851">
        <v>12</v>
      </c>
    </row>
    <row r="551" spans="3:9" ht="15" outlineLevel="2">
      <c r="C551" s="1848">
        <v>41210</v>
      </c>
      <c r="D551" s="1849" t="s">
        <v>2440</v>
      </c>
      <c r="E551" s="1849" t="s">
        <v>5023</v>
      </c>
      <c r="F551" s="1849">
        <v>911</v>
      </c>
      <c r="G551" s="1850" t="s">
        <v>2436</v>
      </c>
      <c r="H551" s="1851">
        <v>12</v>
      </c>
    </row>
    <row r="552" spans="3:9" ht="15" outlineLevel="2">
      <c r="C552" s="1848">
        <v>41210</v>
      </c>
      <c r="D552" s="1849" t="s">
        <v>4537</v>
      </c>
      <c r="E552" s="1849" t="s">
        <v>5023</v>
      </c>
      <c r="F552" s="1849">
        <v>911</v>
      </c>
      <c r="G552" s="1850" t="s">
        <v>2436</v>
      </c>
      <c r="H552" s="1851">
        <v>12</v>
      </c>
    </row>
    <row r="553" spans="3:9" ht="15" outlineLevel="2">
      <c r="C553" s="1848">
        <v>41210</v>
      </c>
      <c r="D553" s="1849" t="s">
        <v>4538</v>
      </c>
      <c r="E553" s="1849" t="s">
        <v>5023</v>
      </c>
      <c r="F553" s="1849">
        <v>911</v>
      </c>
      <c r="G553" s="1850" t="s">
        <v>2436</v>
      </c>
      <c r="H553" s="1851">
        <v>12</v>
      </c>
    </row>
    <row r="554" spans="3:9" ht="15" outlineLevel="2">
      <c r="C554" s="1848">
        <v>41210</v>
      </c>
      <c r="D554" s="1849" t="s">
        <v>4540</v>
      </c>
      <c r="E554" s="1849" t="s">
        <v>5023</v>
      </c>
      <c r="F554" s="1849">
        <v>911</v>
      </c>
      <c r="G554" s="1850" t="s">
        <v>4539</v>
      </c>
      <c r="H554" s="1851">
        <v>12</v>
      </c>
    </row>
    <row r="555" spans="3:9" ht="15" outlineLevel="2">
      <c r="C555" s="1848">
        <v>41210</v>
      </c>
      <c r="D555" s="1849" t="s">
        <v>4541</v>
      </c>
      <c r="E555" s="1849" t="s">
        <v>5023</v>
      </c>
      <c r="F555" s="1849">
        <v>911</v>
      </c>
      <c r="G555" s="1850" t="s">
        <v>4539</v>
      </c>
      <c r="H555" s="1851">
        <v>12</v>
      </c>
    </row>
    <row r="556" spans="3:9" ht="15" outlineLevel="2">
      <c r="C556" s="1848">
        <v>41209</v>
      </c>
      <c r="D556" s="1849" t="s">
        <v>3387</v>
      </c>
      <c r="E556" s="1849" t="s">
        <v>5023</v>
      </c>
      <c r="F556" s="1849">
        <v>912</v>
      </c>
      <c r="G556" s="1850" t="s">
        <v>4542</v>
      </c>
      <c r="H556" s="1851">
        <v>12</v>
      </c>
    </row>
    <row r="557" spans="3:9" ht="15" outlineLevel="2">
      <c r="C557" s="1848">
        <v>41209</v>
      </c>
      <c r="D557" s="1849" t="s">
        <v>2390</v>
      </c>
      <c r="E557" s="1849" t="s">
        <v>5023</v>
      </c>
      <c r="F557" s="1849">
        <v>912</v>
      </c>
      <c r="G557" s="1850" t="s">
        <v>4542</v>
      </c>
      <c r="H557" s="1851">
        <v>12</v>
      </c>
    </row>
    <row r="558" spans="3:9" ht="15" outlineLevel="2">
      <c r="C558" s="1848">
        <v>41209</v>
      </c>
      <c r="D558" s="1849" t="s">
        <v>4130</v>
      </c>
      <c r="E558" s="1849" t="s">
        <v>5023</v>
      </c>
      <c r="F558" s="1849">
        <v>912</v>
      </c>
      <c r="G558" s="1850" t="s">
        <v>4542</v>
      </c>
      <c r="H558" s="1851">
        <v>12</v>
      </c>
    </row>
    <row r="559" spans="3:9" ht="15" outlineLevel="2">
      <c r="C559" s="1848">
        <v>41209</v>
      </c>
      <c r="D559" s="1849" t="s">
        <v>4131</v>
      </c>
      <c r="E559" s="1849" t="s">
        <v>5023</v>
      </c>
      <c r="F559" s="1849">
        <v>912</v>
      </c>
      <c r="G559" s="1850" t="s">
        <v>4542</v>
      </c>
      <c r="H559" s="1851">
        <v>12</v>
      </c>
    </row>
    <row r="560" spans="3:9" ht="15" outlineLevel="2">
      <c r="C560" s="1848">
        <v>41210</v>
      </c>
      <c r="D560" s="1849" t="s">
        <v>4132</v>
      </c>
      <c r="E560" s="1849" t="s">
        <v>5023</v>
      </c>
      <c r="F560" s="1849">
        <v>912</v>
      </c>
      <c r="G560" s="1850" t="s">
        <v>4542</v>
      </c>
      <c r="H560" s="1851">
        <v>24</v>
      </c>
    </row>
    <row r="561" spans="3:8" ht="15" outlineLevel="2">
      <c r="C561" s="1848">
        <v>41210</v>
      </c>
      <c r="D561" s="1849" t="s">
        <v>2076</v>
      </c>
      <c r="E561" s="1849" t="s">
        <v>5023</v>
      </c>
      <c r="F561" s="1849">
        <v>912</v>
      </c>
      <c r="G561" s="1850" t="s">
        <v>4542</v>
      </c>
      <c r="H561" s="1851">
        <v>24</v>
      </c>
    </row>
    <row r="562" spans="3:8" ht="15" outlineLevel="2">
      <c r="C562" s="1848">
        <v>41210</v>
      </c>
      <c r="D562" s="1849" t="s">
        <v>2077</v>
      </c>
      <c r="E562" s="1849" t="s">
        <v>5023</v>
      </c>
      <c r="F562" s="1849">
        <v>912</v>
      </c>
      <c r="G562" s="1850" t="s">
        <v>4542</v>
      </c>
      <c r="H562" s="1851">
        <v>24</v>
      </c>
    </row>
    <row r="563" spans="3:8" ht="16.5" outlineLevel="1">
      <c r="C563" s="1848"/>
      <c r="D563" s="1849"/>
      <c r="E563" s="1854" t="s">
        <v>3280</v>
      </c>
      <c r="F563" s="1852" t="s">
        <v>3029</v>
      </c>
      <c r="G563" s="1853"/>
      <c r="H563" s="1855">
        <f>SUBTOTAL(9,H548:H562)</f>
        <v>216</v>
      </c>
    </row>
    <row r="564" spans="3:8" ht="15">
      <c r="C564" s="1782"/>
      <c r="D564" s="897"/>
      <c r="E564" s="1838" t="s">
        <v>3261</v>
      </c>
      <c r="F564" s="897"/>
      <c r="G564" s="1"/>
      <c r="H564" s="91">
        <f>SUBTOTAL(9,H548:H562)</f>
        <v>216</v>
      </c>
    </row>
    <row r="567" spans="3:8" ht="13.5" thickBot="1">
      <c r="E567" s="297">
        <v>41282</v>
      </c>
    </row>
    <row r="568" spans="3:8" ht="13.5" thickBot="1">
      <c r="C568" s="1811" t="s">
        <v>91</v>
      </c>
      <c r="D568" s="1812" t="s">
        <v>485</v>
      </c>
      <c r="E568" s="211"/>
      <c r="F568" s="1810" t="s">
        <v>4617</v>
      </c>
    </row>
    <row r="569" spans="3:8" ht="15">
      <c r="C569" s="1809" t="s">
        <v>862</v>
      </c>
      <c r="D569" s="573" t="s">
        <v>3759</v>
      </c>
      <c r="E569" s="144"/>
      <c r="F569" s="1808">
        <v>24</v>
      </c>
    </row>
    <row r="570" spans="3:8" ht="15">
      <c r="C570" s="1806" t="s">
        <v>2309</v>
      </c>
      <c r="D570" s="537" t="s">
        <v>2155</v>
      </c>
      <c r="E570" s="83"/>
      <c r="F570" s="1805">
        <v>4</v>
      </c>
    </row>
    <row r="571" spans="3:8" ht="15">
      <c r="C571" s="1806" t="s">
        <v>2308</v>
      </c>
      <c r="D571" s="537" t="s">
        <v>2155</v>
      </c>
      <c r="E571" s="83"/>
      <c r="F571" s="1805">
        <v>6</v>
      </c>
    </row>
    <row r="572" spans="3:8" ht="15">
      <c r="C572" s="1806" t="s">
        <v>2345</v>
      </c>
      <c r="D572" s="537" t="s">
        <v>3760</v>
      </c>
      <c r="E572" s="83"/>
      <c r="F572" s="1805">
        <v>12</v>
      </c>
    </row>
    <row r="573" spans="3:8" ht="15">
      <c r="C573" s="1806" t="s">
        <v>2781</v>
      </c>
      <c r="D573" s="537" t="s">
        <v>2155</v>
      </c>
      <c r="E573" s="83"/>
      <c r="F573" s="1805">
        <v>2</v>
      </c>
    </row>
    <row r="574" spans="3:8" ht="15">
      <c r="C574" s="1806" t="s">
        <v>2017</v>
      </c>
      <c r="D574" s="537" t="s">
        <v>2155</v>
      </c>
      <c r="E574" s="83"/>
      <c r="F574" s="1805">
        <v>1</v>
      </c>
    </row>
    <row r="575" spans="3:8" ht="15">
      <c r="C575" s="1806" t="s">
        <v>2346</v>
      </c>
      <c r="D575" s="537" t="s">
        <v>2154</v>
      </c>
      <c r="E575" s="83"/>
      <c r="F575" s="1805">
        <v>12</v>
      </c>
    </row>
    <row r="576" spans="3:8" ht="15">
      <c r="C576" s="1806" t="s">
        <v>2050</v>
      </c>
      <c r="D576" s="537" t="s">
        <v>2155</v>
      </c>
      <c r="E576" s="83"/>
      <c r="F576" s="1805"/>
    </row>
    <row r="577" spans="3:9" ht="15">
      <c r="C577" s="1884"/>
      <c r="D577" s="93"/>
      <c r="E577" s="75"/>
      <c r="F577" s="1885"/>
    </row>
    <row r="578" spans="3:9" ht="15">
      <c r="C578" s="1884"/>
      <c r="D578" s="93"/>
      <c r="E578" s="75"/>
      <c r="F578" s="1885"/>
    </row>
    <row r="579" spans="3:9" ht="15">
      <c r="C579" s="1884"/>
      <c r="D579" s="93"/>
      <c r="E579" s="75"/>
      <c r="F579" s="1885"/>
    </row>
    <row r="580" spans="3:9" ht="15">
      <c r="C580" s="1884"/>
      <c r="D580" s="93"/>
      <c r="E580" s="75"/>
      <c r="F580" s="1885"/>
    </row>
    <row r="581" spans="3:9" ht="15">
      <c r="C581" s="1884"/>
      <c r="D581" s="93"/>
      <c r="E581" s="75"/>
      <c r="F581" s="1885"/>
    </row>
    <row r="582" spans="3:9" ht="15">
      <c r="C582" s="1884"/>
      <c r="D582" s="93"/>
      <c r="E582" s="75"/>
      <c r="F582" s="1885"/>
    </row>
    <row r="583" spans="3:9" ht="15.75" thickBot="1">
      <c r="C583" s="1884"/>
      <c r="D583" s="93"/>
      <c r="E583" s="75"/>
      <c r="F583" s="1885"/>
    </row>
    <row r="584" spans="3:9" ht="13.5" thickBot="1">
      <c r="C584" s="1811" t="s">
        <v>91</v>
      </c>
      <c r="D584" s="1812" t="s">
        <v>485</v>
      </c>
      <c r="E584" s="211"/>
      <c r="F584" s="1810" t="s">
        <v>4617</v>
      </c>
    </row>
    <row r="585" spans="3:9" ht="30" customHeight="1">
      <c r="C585" s="1887" t="s">
        <v>1239</v>
      </c>
      <c r="D585" s="3838" t="s">
        <v>1238</v>
      </c>
      <c r="E585" s="3839"/>
      <c r="F585" s="1886">
        <v>1</v>
      </c>
    </row>
    <row r="586" spans="3:9" ht="24.95" customHeight="1">
      <c r="C586" s="1887" t="s">
        <v>2486</v>
      </c>
      <c r="D586" s="3836" t="s">
        <v>1256</v>
      </c>
      <c r="E586" s="3837"/>
      <c r="F586" s="1886">
        <v>2</v>
      </c>
    </row>
    <row r="587" spans="3:9" ht="15">
      <c r="C587" s="1884"/>
      <c r="D587" s="93"/>
      <c r="E587" s="75"/>
      <c r="F587" s="1885"/>
    </row>
    <row r="590" spans="3:9" ht="16.5">
      <c r="C590" s="1839" t="s">
        <v>632</v>
      </c>
      <c r="D590" s="1840"/>
      <c r="E590" s="1841"/>
      <c r="F590" s="1842"/>
      <c r="G590" s="1843"/>
      <c r="H590" s="1843"/>
    </row>
    <row r="591" spans="3:9" ht="14.25" thickBot="1">
      <c r="C591" s="1844" t="s">
        <v>762</v>
      </c>
      <c r="D591" s="1845" t="s">
        <v>1984</v>
      </c>
      <c r="E591" s="1846" t="s">
        <v>2067</v>
      </c>
      <c r="F591" s="1844" t="s">
        <v>1702</v>
      </c>
      <c r="G591" s="1847" t="s">
        <v>1459</v>
      </c>
      <c r="H591" s="1845" t="s">
        <v>3372</v>
      </c>
      <c r="I591" s="1790" t="s">
        <v>2066</v>
      </c>
    </row>
    <row r="592" spans="3:9" ht="15.75" outlineLevel="2" thickTop="1">
      <c r="C592" s="1848">
        <v>41265</v>
      </c>
      <c r="D592" s="1849" t="s">
        <v>4954</v>
      </c>
      <c r="E592" s="1849" t="s">
        <v>649</v>
      </c>
      <c r="F592" s="1849">
        <v>945</v>
      </c>
      <c r="G592" s="1850" t="s">
        <v>4955</v>
      </c>
      <c r="H592" s="1874">
        <v>12</v>
      </c>
      <c r="I592" s="748"/>
    </row>
    <row r="593" spans="3:9" ht="15" outlineLevel="2">
      <c r="C593" s="1848">
        <v>41265</v>
      </c>
      <c r="D593" s="1849" t="s">
        <v>2824</v>
      </c>
      <c r="E593" s="1849" t="s">
        <v>649</v>
      </c>
      <c r="F593" s="1849">
        <v>944</v>
      </c>
      <c r="G593" s="1850" t="s">
        <v>4949</v>
      </c>
      <c r="H593" s="1874">
        <v>12</v>
      </c>
      <c r="I593" s="748"/>
    </row>
    <row r="594" spans="3:9" ht="15" outlineLevel="2">
      <c r="C594" s="1848">
        <v>41265</v>
      </c>
      <c r="D594" s="1849" t="s">
        <v>4950</v>
      </c>
      <c r="E594" s="1849" t="s">
        <v>649</v>
      </c>
      <c r="F594" s="1849">
        <v>944</v>
      </c>
      <c r="G594" s="1850" t="s">
        <v>4949</v>
      </c>
      <c r="H594" s="1874">
        <v>12</v>
      </c>
      <c r="I594" s="748"/>
    </row>
    <row r="595" spans="3:9" ht="15" outlineLevel="2">
      <c r="C595" s="1848">
        <v>41265</v>
      </c>
      <c r="D595" s="1849" t="s">
        <v>4951</v>
      </c>
      <c r="E595" s="1849" t="s">
        <v>649</v>
      </c>
      <c r="F595" s="1849">
        <v>944</v>
      </c>
      <c r="G595" s="1850" t="s">
        <v>4949</v>
      </c>
      <c r="H595" s="1874">
        <v>12</v>
      </c>
      <c r="I595" s="748"/>
    </row>
    <row r="596" spans="3:9" ht="15" outlineLevel="2">
      <c r="C596" s="1848">
        <v>41265</v>
      </c>
      <c r="D596" s="1849" t="s">
        <v>4956</v>
      </c>
      <c r="E596" s="1849" t="s">
        <v>649</v>
      </c>
      <c r="F596" s="1849">
        <v>945</v>
      </c>
      <c r="G596" s="1850" t="s">
        <v>4955</v>
      </c>
      <c r="H596" s="1874">
        <v>12</v>
      </c>
      <c r="I596" s="748"/>
    </row>
    <row r="597" spans="3:9" ht="15" outlineLevel="2">
      <c r="C597" s="1848">
        <v>41266</v>
      </c>
      <c r="D597" s="1849" t="s">
        <v>1299</v>
      </c>
      <c r="E597" s="1849" t="s">
        <v>649</v>
      </c>
      <c r="F597" s="1849">
        <v>945</v>
      </c>
      <c r="G597" s="1850" t="s">
        <v>4955</v>
      </c>
      <c r="H597" s="1874">
        <v>24</v>
      </c>
      <c r="I597" s="748"/>
    </row>
    <row r="598" spans="3:9" ht="15" outlineLevel="2">
      <c r="C598" s="1848">
        <v>41266</v>
      </c>
      <c r="D598" s="1849" t="s">
        <v>4952</v>
      </c>
      <c r="E598" s="1849" t="s">
        <v>649</v>
      </c>
      <c r="F598" s="1849">
        <v>944</v>
      </c>
      <c r="G598" s="1850" t="s">
        <v>4949</v>
      </c>
      <c r="H598" s="1874">
        <v>24</v>
      </c>
      <c r="I598" s="748"/>
    </row>
    <row r="599" spans="3:9" ht="15" outlineLevel="2">
      <c r="C599" s="1848">
        <v>41266</v>
      </c>
      <c r="D599" s="1849" t="s">
        <v>1300</v>
      </c>
      <c r="E599" s="1849" t="s">
        <v>649</v>
      </c>
      <c r="F599" s="1849">
        <v>945</v>
      </c>
      <c r="G599" s="1850" t="s">
        <v>4955</v>
      </c>
      <c r="H599" s="1874">
        <v>24</v>
      </c>
      <c r="I599" s="748"/>
    </row>
    <row r="600" spans="3:9" s="1876" customFormat="1" ht="16.5" outlineLevel="1">
      <c r="C600" s="1877"/>
      <c r="D600" s="1878"/>
      <c r="E600" s="1879" t="s">
        <v>651</v>
      </c>
      <c r="F600" s="1878"/>
      <c r="G600" s="1880" t="s">
        <v>3737</v>
      </c>
      <c r="H600" s="1881">
        <f>SUBTOTAL(9,H592:H599)</f>
        <v>132</v>
      </c>
    </row>
    <row r="601" spans="3:9" ht="15" outlineLevel="2">
      <c r="C601" s="1848">
        <v>41265</v>
      </c>
      <c r="D601" s="1849" t="s">
        <v>4959</v>
      </c>
      <c r="E601" s="1849" t="s">
        <v>4069</v>
      </c>
      <c r="F601" s="1849">
        <v>945</v>
      </c>
      <c r="G601" s="1850" t="s">
        <v>4955</v>
      </c>
      <c r="H601" s="1874">
        <v>12</v>
      </c>
      <c r="I601" s="748"/>
    </row>
    <row r="602" spans="3:9" ht="15" outlineLevel="2">
      <c r="C602" s="1848">
        <v>41265</v>
      </c>
      <c r="D602" s="1849" t="s">
        <v>4957</v>
      </c>
      <c r="E602" s="1849" t="s">
        <v>4069</v>
      </c>
      <c r="F602" s="1849">
        <v>945</v>
      </c>
      <c r="G602" s="1850" t="s">
        <v>4955</v>
      </c>
      <c r="H602" s="1874">
        <v>12</v>
      </c>
      <c r="I602" s="748"/>
    </row>
    <row r="603" spans="3:9" ht="15" outlineLevel="2">
      <c r="C603" s="1848">
        <v>41265</v>
      </c>
      <c r="D603" s="1849" t="s">
        <v>4958</v>
      </c>
      <c r="E603" s="1849" t="s">
        <v>4069</v>
      </c>
      <c r="F603" s="1849">
        <v>945</v>
      </c>
      <c r="G603" s="1850" t="s">
        <v>4955</v>
      </c>
      <c r="H603" s="1874">
        <v>12</v>
      </c>
      <c r="I603" s="748"/>
    </row>
    <row r="604" spans="3:9" ht="15" outlineLevel="2">
      <c r="C604" s="1848">
        <v>41266</v>
      </c>
      <c r="D604" s="1849">
        <v>59272</v>
      </c>
      <c r="E604" s="1869" t="s">
        <v>4069</v>
      </c>
      <c r="F604" s="1849">
        <v>945</v>
      </c>
      <c r="G604" s="748" t="s">
        <v>4955</v>
      </c>
      <c r="H604" s="1874">
        <v>24</v>
      </c>
      <c r="I604" s="748"/>
    </row>
    <row r="605" spans="3:9" ht="15" outlineLevel="2">
      <c r="C605" s="1848">
        <v>41266</v>
      </c>
      <c r="D605" s="1849">
        <v>59313</v>
      </c>
      <c r="E605" s="1875" t="s">
        <v>4069</v>
      </c>
      <c r="F605" s="1849">
        <v>945</v>
      </c>
      <c r="G605" s="1870" t="s">
        <v>4955</v>
      </c>
      <c r="H605" s="1874">
        <v>24</v>
      </c>
      <c r="I605" s="748"/>
    </row>
    <row r="606" spans="3:9" ht="15" outlineLevel="2">
      <c r="C606" s="1848">
        <v>41266</v>
      </c>
      <c r="D606" s="1849" t="s">
        <v>4953</v>
      </c>
      <c r="E606" s="1849" t="s">
        <v>4069</v>
      </c>
      <c r="F606" s="1849">
        <v>944</v>
      </c>
      <c r="G606" s="1850" t="s">
        <v>4949</v>
      </c>
      <c r="H606" s="1874">
        <v>24</v>
      </c>
      <c r="I606" s="748"/>
    </row>
    <row r="607" spans="3:9" ht="15" outlineLevel="2">
      <c r="C607" s="1848">
        <v>41266</v>
      </c>
      <c r="D607" s="1849" t="s">
        <v>1301</v>
      </c>
      <c r="E607" s="1849" t="s">
        <v>4069</v>
      </c>
      <c r="F607" s="1849">
        <v>945</v>
      </c>
      <c r="G607" s="1850" t="s">
        <v>4955</v>
      </c>
      <c r="H607" s="1874">
        <v>24</v>
      </c>
      <c r="I607" s="748"/>
    </row>
    <row r="608" spans="3:9" ht="15" outlineLevel="2">
      <c r="C608" s="1848">
        <v>41266</v>
      </c>
      <c r="D608" s="1849" t="s">
        <v>1528</v>
      </c>
      <c r="E608" s="1875" t="s">
        <v>4069</v>
      </c>
      <c r="F608" s="1849">
        <v>945</v>
      </c>
      <c r="G608" s="1870" t="s">
        <v>4955</v>
      </c>
      <c r="H608" s="1874">
        <v>24</v>
      </c>
      <c r="I608" s="748"/>
    </row>
    <row r="609" spans="3:9" ht="15" outlineLevel="2">
      <c r="C609" s="1848">
        <v>41266</v>
      </c>
      <c r="D609" s="1849" t="s">
        <v>2816</v>
      </c>
      <c r="E609" s="1875" t="s">
        <v>4069</v>
      </c>
      <c r="F609" s="1849">
        <v>945</v>
      </c>
      <c r="G609" s="1870" t="s">
        <v>4955</v>
      </c>
      <c r="H609" s="1874">
        <v>24</v>
      </c>
      <c r="I609" s="748"/>
    </row>
    <row r="610" spans="3:9" s="1876" customFormat="1" ht="16.5" outlineLevel="1">
      <c r="C610" s="1877"/>
      <c r="D610" s="1878"/>
      <c r="E610" s="1882" t="s">
        <v>2258</v>
      </c>
      <c r="F610" s="1878"/>
      <c r="G610" s="1883" t="s">
        <v>1406</v>
      </c>
      <c r="H610" s="1881">
        <f>SUBTOTAL(9,H601:H609)</f>
        <v>180</v>
      </c>
    </row>
    <row r="611" spans="3:9" s="1873" customFormat="1" ht="16.5">
      <c r="C611" s="1871"/>
      <c r="D611" s="1872"/>
      <c r="E611" s="1882" t="s">
        <v>3261</v>
      </c>
      <c r="F611" s="1872"/>
      <c r="G611" s="1881">
        <f>SUBTOTAL(9,H592:H609)</f>
        <v>312</v>
      </c>
    </row>
    <row r="612" spans="3:9" ht="15">
      <c r="C612" s="1848"/>
      <c r="D612" s="1849"/>
      <c r="E612" s="1875"/>
      <c r="F612" s="1849"/>
      <c r="G612" s="1870"/>
      <c r="H612" s="748"/>
      <c r="I612" s="748"/>
    </row>
    <row r="613" spans="3:9" ht="16.5">
      <c r="C613" s="1839" t="s">
        <v>1070</v>
      </c>
      <c r="D613" s="1840"/>
      <c r="E613" s="1841"/>
      <c r="F613" s="1842"/>
      <c r="G613" s="1841"/>
      <c r="H613" s="1843"/>
    </row>
    <row r="614" spans="3:9" ht="14.25" thickBot="1">
      <c r="C614" s="1844" t="s">
        <v>762</v>
      </c>
      <c r="D614" s="1845" t="s">
        <v>1984</v>
      </c>
      <c r="E614" s="1846" t="s">
        <v>2067</v>
      </c>
      <c r="F614" s="1844" t="s">
        <v>1702</v>
      </c>
      <c r="G614" s="1847" t="s">
        <v>1459</v>
      </c>
      <c r="H614" s="1845" t="s">
        <v>3372</v>
      </c>
      <c r="I614" s="1790" t="s">
        <v>2066</v>
      </c>
    </row>
    <row r="615" spans="3:9" ht="15.75" outlineLevel="2" thickTop="1">
      <c r="C615" s="1848">
        <v>41274</v>
      </c>
      <c r="D615" s="1849" t="s">
        <v>186</v>
      </c>
      <c r="E615" s="1849" t="s">
        <v>56</v>
      </c>
      <c r="F615" s="1849">
        <v>948</v>
      </c>
      <c r="G615" s="1874" t="s">
        <v>5024</v>
      </c>
      <c r="H615" s="1874">
        <v>12</v>
      </c>
      <c r="I615" s="748"/>
    </row>
    <row r="616" spans="3:9" ht="15" outlineLevel="2">
      <c r="C616" s="1848">
        <v>41274</v>
      </c>
      <c r="D616" s="1849" t="s">
        <v>607</v>
      </c>
      <c r="E616" s="1849" t="s">
        <v>56</v>
      </c>
      <c r="F616" s="1849">
        <v>948</v>
      </c>
      <c r="G616" s="1874" t="s">
        <v>5024</v>
      </c>
      <c r="H616" s="1874">
        <v>12</v>
      </c>
      <c r="I616" s="748"/>
    </row>
    <row r="617" spans="3:9" ht="16.5" outlineLevel="1">
      <c r="C617" s="1848"/>
      <c r="D617" s="1849"/>
      <c r="E617" s="1894" t="s">
        <v>1045</v>
      </c>
      <c r="F617" s="1890"/>
      <c r="G617" s="1891"/>
      <c r="H617" s="1892">
        <f>SUBTOTAL(9,H615:H616)</f>
        <v>24</v>
      </c>
      <c r="I617" s="748"/>
    </row>
    <row r="618" spans="3:9" ht="15.75" outlineLevel="2">
      <c r="C618" s="1848">
        <v>41274</v>
      </c>
      <c r="D618" s="1849" t="s">
        <v>2488</v>
      </c>
      <c r="E618" s="1849" t="s">
        <v>1527</v>
      </c>
      <c r="F618" s="1849">
        <v>948</v>
      </c>
      <c r="G618" s="1874" t="s">
        <v>5024</v>
      </c>
      <c r="H618" s="1888">
        <v>12</v>
      </c>
      <c r="I618" s="748"/>
    </row>
    <row r="619" spans="3:9" ht="15.75" outlineLevel="2">
      <c r="C619" s="1848">
        <v>41274</v>
      </c>
      <c r="D619" s="1849" t="s">
        <v>610</v>
      </c>
      <c r="E619" s="1849" t="s">
        <v>1527</v>
      </c>
      <c r="F619" s="1849">
        <v>948</v>
      </c>
      <c r="G619" s="1874" t="s">
        <v>5024</v>
      </c>
      <c r="H619" s="1888">
        <v>12</v>
      </c>
      <c r="I619" s="748"/>
    </row>
    <row r="620" spans="3:9" ht="15.75" outlineLevel="2">
      <c r="C620" s="1848">
        <v>41279</v>
      </c>
      <c r="D620" s="1849" t="s">
        <v>1048</v>
      </c>
      <c r="E620" s="1849" t="s">
        <v>1527</v>
      </c>
      <c r="F620" s="1849">
        <v>948</v>
      </c>
      <c r="G620" s="1874" t="s">
        <v>5024</v>
      </c>
      <c r="H620" s="1888">
        <v>12</v>
      </c>
      <c r="I620" s="748"/>
    </row>
    <row r="621" spans="3:9" ht="15.75" outlineLevel="2">
      <c r="C621" s="1848">
        <v>41279</v>
      </c>
      <c r="D621" s="1849" t="s">
        <v>3911</v>
      </c>
      <c r="E621" s="1849" t="s">
        <v>1527</v>
      </c>
      <c r="F621" s="1849">
        <v>948</v>
      </c>
      <c r="G621" s="1874" t="s">
        <v>5024</v>
      </c>
      <c r="H621" s="1888">
        <v>12</v>
      </c>
      <c r="I621" s="748"/>
    </row>
    <row r="622" spans="3:9" ht="16.5" outlineLevel="1">
      <c r="C622" s="1848"/>
      <c r="D622" s="1849"/>
      <c r="E622" s="1889" t="s">
        <v>1046</v>
      </c>
      <c r="F622" s="1890"/>
      <c r="G622" s="1891"/>
      <c r="H622" s="1892">
        <f>SUBTOTAL(9,H618:H621)</f>
        <v>48</v>
      </c>
      <c r="I622" s="748"/>
    </row>
    <row r="623" spans="3:9" ht="15.75" outlineLevel="2">
      <c r="C623" s="1848">
        <v>41274</v>
      </c>
      <c r="D623" s="1849" t="s">
        <v>3103</v>
      </c>
      <c r="E623" s="1849" t="s">
        <v>3050</v>
      </c>
      <c r="F623" s="1849">
        <v>948</v>
      </c>
      <c r="G623" s="1874" t="s">
        <v>5024</v>
      </c>
      <c r="H623" s="1888">
        <v>12</v>
      </c>
      <c r="I623" s="748"/>
    </row>
    <row r="624" spans="3:9" ht="15.75" outlineLevel="2">
      <c r="C624" s="1848">
        <v>41274</v>
      </c>
      <c r="D624" s="1849" t="s">
        <v>179</v>
      </c>
      <c r="E624" s="1849" t="s">
        <v>3050</v>
      </c>
      <c r="F624" s="1849">
        <v>948</v>
      </c>
      <c r="G624" s="1874" t="s">
        <v>5024</v>
      </c>
      <c r="H624" s="1888">
        <v>12</v>
      </c>
      <c r="I624" s="748"/>
    </row>
    <row r="625" spans="3:9" ht="16.5" outlineLevel="1">
      <c r="C625" s="1848"/>
      <c r="D625" s="1849"/>
      <c r="E625" s="1889" t="s">
        <v>1393</v>
      </c>
      <c r="F625" s="1890"/>
      <c r="G625" s="1891"/>
      <c r="H625" s="1892">
        <f>SUBTOTAL(9,H623:H624)</f>
        <v>24</v>
      </c>
      <c r="I625" s="748"/>
    </row>
    <row r="626" spans="3:9" ht="15.75" outlineLevel="2">
      <c r="C626" s="1848">
        <v>41274</v>
      </c>
      <c r="D626" s="1849" t="s">
        <v>1763</v>
      </c>
      <c r="E626" s="1849" t="s">
        <v>2442</v>
      </c>
      <c r="F626" s="1849">
        <v>948</v>
      </c>
      <c r="G626" s="1874" t="s">
        <v>5024</v>
      </c>
      <c r="H626" s="1888">
        <v>12</v>
      </c>
      <c r="I626" s="748"/>
    </row>
    <row r="627" spans="3:9" ht="15.75" outlineLevel="2">
      <c r="C627" s="1848">
        <v>41274</v>
      </c>
      <c r="D627" s="1849" t="s">
        <v>182</v>
      </c>
      <c r="E627" s="1849" t="s">
        <v>2442</v>
      </c>
      <c r="F627" s="1849">
        <v>948</v>
      </c>
      <c r="G627" s="1874" t="s">
        <v>5024</v>
      </c>
      <c r="H627" s="1888">
        <v>12</v>
      </c>
      <c r="I627" s="748"/>
    </row>
    <row r="628" spans="3:9" ht="15.75" outlineLevel="2">
      <c r="C628" s="1848">
        <v>41279</v>
      </c>
      <c r="D628" s="1849" t="s">
        <v>1053</v>
      </c>
      <c r="E628" s="1849" t="s">
        <v>2442</v>
      </c>
      <c r="F628" s="1849">
        <v>948</v>
      </c>
      <c r="G628" s="1874" t="s">
        <v>5024</v>
      </c>
      <c r="H628" s="1888">
        <v>12</v>
      </c>
      <c r="I628" s="748"/>
    </row>
    <row r="629" spans="3:9" ht="16.5" outlineLevel="1">
      <c r="C629" s="1848"/>
      <c r="D629" s="1849"/>
      <c r="E629" s="1893" t="s">
        <v>3283</v>
      </c>
      <c r="F629" s="1890"/>
      <c r="G629" s="1891"/>
      <c r="H629" s="1892">
        <f>SUBTOTAL(9,H626:H628)</f>
        <v>36</v>
      </c>
      <c r="I629" s="748"/>
    </row>
    <row r="630" spans="3:9" ht="15.75" outlineLevel="2">
      <c r="C630" s="1848">
        <v>41274</v>
      </c>
      <c r="D630" s="1849" t="s">
        <v>1249</v>
      </c>
      <c r="E630" s="1849" t="s">
        <v>1913</v>
      </c>
      <c r="F630" s="1849">
        <v>948</v>
      </c>
      <c r="G630" s="1874" t="s">
        <v>5024</v>
      </c>
      <c r="H630" s="1888">
        <v>12</v>
      </c>
      <c r="I630" s="748"/>
    </row>
    <row r="631" spans="3:9" ht="15.75" outlineLevel="2">
      <c r="C631" s="1848">
        <v>41279</v>
      </c>
      <c r="D631" s="1849" t="s">
        <v>1047</v>
      </c>
      <c r="E631" s="1849" t="s">
        <v>1913</v>
      </c>
      <c r="F631" s="1849">
        <v>948</v>
      </c>
      <c r="G631" s="1874" t="s">
        <v>5024</v>
      </c>
      <c r="H631" s="1888">
        <v>12</v>
      </c>
      <c r="I631" s="748"/>
    </row>
    <row r="632" spans="3:9" ht="15.75" outlineLevel="2">
      <c r="C632" s="1848">
        <v>41279</v>
      </c>
      <c r="D632" s="1849" t="s">
        <v>3468</v>
      </c>
      <c r="E632" s="1849" t="s">
        <v>1913</v>
      </c>
      <c r="F632" s="1849">
        <v>948</v>
      </c>
      <c r="G632" s="1874" t="s">
        <v>5024</v>
      </c>
      <c r="H632" s="1888">
        <v>12</v>
      </c>
      <c r="I632" s="748"/>
    </row>
    <row r="633" spans="3:9" ht="16.5" outlineLevel="1">
      <c r="C633" s="1848"/>
      <c r="D633" s="1849"/>
      <c r="E633" s="1889" t="s">
        <v>908</v>
      </c>
      <c r="F633" s="1890"/>
      <c r="G633" s="1891"/>
      <c r="H633" s="1892">
        <f>SUBTOTAL(9,H630:H632)</f>
        <v>36</v>
      </c>
      <c r="I633" s="748"/>
    </row>
    <row r="634" spans="3:9" ht="15.75" outlineLevel="2">
      <c r="C634" s="1848">
        <v>41279</v>
      </c>
      <c r="D634" s="1849" t="s">
        <v>4922</v>
      </c>
      <c r="E634" s="1849" t="s">
        <v>3054</v>
      </c>
      <c r="F634" s="1849">
        <v>948</v>
      </c>
      <c r="G634" s="1874" t="s">
        <v>5024</v>
      </c>
      <c r="H634" s="1888">
        <v>12</v>
      </c>
      <c r="I634" s="748"/>
    </row>
    <row r="635" spans="3:9" ht="16.5" outlineLevel="1">
      <c r="C635" s="1848"/>
      <c r="D635" s="1849"/>
      <c r="E635" s="1889" t="s">
        <v>3284</v>
      </c>
      <c r="F635" s="1890"/>
      <c r="G635" s="1891"/>
      <c r="H635" s="1892">
        <f>SUBTOTAL(9,H634:H634)</f>
        <v>12</v>
      </c>
      <c r="I635" s="748"/>
    </row>
    <row r="636" spans="3:9" ht="15.75" outlineLevel="2">
      <c r="C636" s="1848">
        <v>41274</v>
      </c>
      <c r="D636" s="1849" t="s">
        <v>2785</v>
      </c>
      <c r="E636" s="1849" t="s">
        <v>167</v>
      </c>
      <c r="F636" s="1849">
        <v>948</v>
      </c>
      <c r="G636" s="1874" t="s">
        <v>5024</v>
      </c>
      <c r="H636" s="1888">
        <v>12</v>
      </c>
      <c r="I636" s="748"/>
    </row>
    <row r="637" spans="3:9" ht="15.75" outlineLevel="2">
      <c r="C637" s="1848">
        <v>41274</v>
      </c>
      <c r="D637" s="1849" t="s">
        <v>184</v>
      </c>
      <c r="E637" s="1849" t="s">
        <v>167</v>
      </c>
      <c r="F637" s="1849">
        <v>948</v>
      </c>
      <c r="G637" s="1874" t="s">
        <v>5024</v>
      </c>
      <c r="H637" s="1888">
        <v>12</v>
      </c>
      <c r="I637" s="748"/>
    </row>
    <row r="638" spans="3:9" ht="15.75" outlineLevel="2">
      <c r="C638" s="1848">
        <v>41279</v>
      </c>
      <c r="D638" s="1849" t="s">
        <v>1888</v>
      </c>
      <c r="E638" s="1849" t="s">
        <v>167</v>
      </c>
      <c r="F638" s="1849">
        <v>948</v>
      </c>
      <c r="G638" s="1874" t="s">
        <v>5024</v>
      </c>
      <c r="H638" s="1888">
        <v>12</v>
      </c>
      <c r="I638" s="748"/>
    </row>
    <row r="639" spans="3:9" ht="15.75" outlineLevel="2">
      <c r="C639" s="1848">
        <v>41279</v>
      </c>
      <c r="D639" s="1849" t="s">
        <v>3908</v>
      </c>
      <c r="E639" s="1849" t="s">
        <v>167</v>
      </c>
      <c r="F639" s="1849">
        <v>948</v>
      </c>
      <c r="G639" s="1874" t="s">
        <v>5024</v>
      </c>
      <c r="H639" s="1888">
        <v>12</v>
      </c>
      <c r="I639" s="748"/>
    </row>
    <row r="640" spans="3:9" ht="16.5" outlineLevel="1">
      <c r="C640" s="1848"/>
      <c r="D640" s="1849"/>
      <c r="E640" s="1889" t="s">
        <v>3285</v>
      </c>
      <c r="F640" s="1890"/>
      <c r="G640" s="1891"/>
      <c r="H640" s="1892">
        <f>SUBTOTAL(9,H636:H639)</f>
        <v>48</v>
      </c>
      <c r="I640" s="748"/>
    </row>
    <row r="641" spans="3:9" ht="15.75" outlineLevel="2">
      <c r="C641" s="1848">
        <v>41279</v>
      </c>
      <c r="D641" s="1849" t="s">
        <v>1887</v>
      </c>
      <c r="E641" s="1849" t="s">
        <v>1868</v>
      </c>
      <c r="F641" s="1849">
        <v>948</v>
      </c>
      <c r="G641" s="1874" t="s">
        <v>5024</v>
      </c>
      <c r="H641" s="1888">
        <v>12</v>
      </c>
      <c r="I641" s="748"/>
    </row>
    <row r="642" spans="3:9" ht="15.75" outlineLevel="2">
      <c r="C642" s="1848">
        <v>41279</v>
      </c>
      <c r="D642" s="1849" t="s">
        <v>1055</v>
      </c>
      <c r="E642" s="1849" t="s">
        <v>1868</v>
      </c>
      <c r="F642" s="1849">
        <v>948</v>
      </c>
      <c r="G642" s="1874" t="s">
        <v>5024</v>
      </c>
      <c r="H642" s="1888">
        <v>12</v>
      </c>
      <c r="I642" s="748"/>
    </row>
    <row r="643" spans="3:9" ht="16.5" outlineLevel="1">
      <c r="C643" s="1848"/>
      <c r="D643" s="1849"/>
      <c r="E643" s="1889" t="s">
        <v>3676</v>
      </c>
      <c r="F643" s="1890"/>
      <c r="G643" s="1891"/>
      <c r="H643" s="1892">
        <f>SUBTOTAL(9,H641:H642)</f>
        <v>24</v>
      </c>
      <c r="I643" s="748"/>
    </row>
    <row r="644" spans="3:9" ht="15.75" outlineLevel="2">
      <c r="C644" s="1848">
        <v>41274</v>
      </c>
      <c r="D644" s="1849" t="s">
        <v>1252</v>
      </c>
      <c r="E644" s="1849" t="s">
        <v>4894</v>
      </c>
      <c r="F644" s="1849">
        <v>948</v>
      </c>
      <c r="G644" s="1874" t="s">
        <v>5024</v>
      </c>
      <c r="H644" s="1888">
        <v>12</v>
      </c>
      <c r="I644" s="748"/>
    </row>
    <row r="645" spans="3:9" ht="15.75" outlineLevel="2">
      <c r="C645" s="1848">
        <v>41274</v>
      </c>
      <c r="D645" s="1849" t="s">
        <v>608</v>
      </c>
      <c r="E645" s="1849" t="s">
        <v>4894</v>
      </c>
      <c r="F645" s="1849">
        <v>948</v>
      </c>
      <c r="G645" s="1874" t="s">
        <v>5024</v>
      </c>
      <c r="H645" s="1888">
        <v>12</v>
      </c>
      <c r="I645" s="748"/>
    </row>
    <row r="646" spans="3:9" ht="15.75" outlineLevel="2">
      <c r="C646" s="1848">
        <v>41279</v>
      </c>
      <c r="D646" s="1849" t="s">
        <v>1052</v>
      </c>
      <c r="E646" s="1849" t="s">
        <v>4894</v>
      </c>
      <c r="F646" s="1849">
        <v>948</v>
      </c>
      <c r="G646" s="1874" t="s">
        <v>5024</v>
      </c>
      <c r="H646" s="1888">
        <v>12</v>
      </c>
      <c r="I646" s="748"/>
    </row>
    <row r="647" spans="3:9" ht="15.75" outlineLevel="2">
      <c r="C647" s="1848">
        <v>41279</v>
      </c>
      <c r="D647" s="1849" t="s">
        <v>3909</v>
      </c>
      <c r="E647" s="1849" t="s">
        <v>4894</v>
      </c>
      <c r="F647" s="1849">
        <v>948</v>
      </c>
      <c r="G647" s="1874" t="s">
        <v>5024</v>
      </c>
      <c r="H647" s="1888">
        <v>12</v>
      </c>
      <c r="I647" s="748"/>
    </row>
    <row r="648" spans="3:9" ht="16.5" outlineLevel="1">
      <c r="C648" s="1848"/>
      <c r="D648" s="1849"/>
      <c r="E648" s="1893" t="s">
        <v>3677</v>
      </c>
      <c r="F648" s="1890"/>
      <c r="G648" s="1891"/>
      <c r="H648" s="1892">
        <f>SUBTOTAL(9,H644:H647)</f>
        <v>48</v>
      </c>
      <c r="I648" s="748"/>
    </row>
    <row r="649" spans="3:9" ht="15.75" outlineLevel="2">
      <c r="C649" s="1848">
        <v>41274</v>
      </c>
      <c r="D649" s="1849" t="s">
        <v>2786</v>
      </c>
      <c r="E649" s="1849" t="s">
        <v>3079</v>
      </c>
      <c r="F649" s="1849">
        <v>948</v>
      </c>
      <c r="G649" s="1874" t="s">
        <v>5024</v>
      </c>
      <c r="H649" s="1888">
        <v>12</v>
      </c>
      <c r="I649" s="748"/>
    </row>
    <row r="650" spans="3:9" ht="15.75" outlineLevel="2">
      <c r="C650" s="1848">
        <v>41274</v>
      </c>
      <c r="D650" s="1849" t="s">
        <v>609</v>
      </c>
      <c r="E650" s="1849" t="s">
        <v>3079</v>
      </c>
      <c r="F650" s="1849">
        <v>948</v>
      </c>
      <c r="G650" s="1874" t="s">
        <v>5024</v>
      </c>
      <c r="H650" s="1888">
        <v>12</v>
      </c>
      <c r="I650" s="748"/>
    </row>
    <row r="651" spans="3:9" ht="15.75" outlineLevel="2">
      <c r="C651" s="1848">
        <v>41279</v>
      </c>
      <c r="D651" s="1849" t="s">
        <v>1050</v>
      </c>
      <c r="E651" s="1849" t="s">
        <v>3079</v>
      </c>
      <c r="F651" s="1849">
        <v>948</v>
      </c>
      <c r="G651" s="1874" t="s">
        <v>5024</v>
      </c>
      <c r="H651" s="1888">
        <v>12</v>
      </c>
      <c r="I651" s="748"/>
    </row>
    <row r="652" spans="3:9" ht="16.5" outlineLevel="1">
      <c r="C652" s="1848"/>
      <c r="D652" s="1849"/>
      <c r="E652" s="1889" t="s">
        <v>3678</v>
      </c>
      <c r="F652" s="1890"/>
      <c r="G652" s="1891"/>
      <c r="H652" s="1892">
        <f>SUBTOTAL(9,H649:H651)</f>
        <v>36</v>
      </c>
      <c r="I652" s="748"/>
    </row>
    <row r="653" spans="3:9" ht="15.75" outlineLevel="2">
      <c r="C653" s="1848">
        <v>41274</v>
      </c>
      <c r="D653" s="1849" t="s">
        <v>3838</v>
      </c>
      <c r="E653" s="1849" t="s">
        <v>3839</v>
      </c>
      <c r="F653" s="1849">
        <v>948</v>
      </c>
      <c r="G653" s="1874" t="s">
        <v>5024</v>
      </c>
      <c r="H653" s="1888">
        <v>12</v>
      </c>
      <c r="I653" s="748"/>
    </row>
    <row r="654" spans="3:9" ht="15.75" outlineLevel="2">
      <c r="C654" s="1848">
        <v>41274</v>
      </c>
      <c r="D654" s="1849" t="s">
        <v>178</v>
      </c>
      <c r="E654" s="1849" t="s">
        <v>3839</v>
      </c>
      <c r="F654" s="1849">
        <v>948</v>
      </c>
      <c r="G654" s="1874" t="s">
        <v>5024</v>
      </c>
      <c r="H654" s="1888">
        <v>12</v>
      </c>
      <c r="I654" s="748"/>
    </row>
    <row r="655" spans="3:9" ht="15.75" outlineLevel="2">
      <c r="C655" s="1848">
        <v>41279</v>
      </c>
      <c r="D655" s="1849" t="s">
        <v>1054</v>
      </c>
      <c r="E655" s="1849" t="s">
        <v>3839</v>
      </c>
      <c r="F655" s="1849">
        <v>948</v>
      </c>
      <c r="G655" s="1874" t="s">
        <v>5024</v>
      </c>
      <c r="H655" s="1888">
        <v>12</v>
      </c>
      <c r="I655" s="748"/>
    </row>
    <row r="656" spans="3:9" ht="16.5" outlineLevel="1">
      <c r="C656" s="1848"/>
      <c r="D656" s="1849"/>
      <c r="E656" s="1889" t="s">
        <v>4032</v>
      </c>
      <c r="F656" s="1890"/>
      <c r="G656" s="1891"/>
      <c r="H656" s="1892">
        <f>SUBTOTAL(9,H653:H655)</f>
        <v>36</v>
      </c>
      <c r="I656" s="748"/>
    </row>
    <row r="657" spans="3:9" ht="15.75" outlineLevel="2">
      <c r="C657" s="1848">
        <v>41274</v>
      </c>
      <c r="D657" s="1849" t="s">
        <v>1250</v>
      </c>
      <c r="E657" s="1849" t="s">
        <v>1251</v>
      </c>
      <c r="F657" s="1849">
        <v>948</v>
      </c>
      <c r="G657" s="1874" t="s">
        <v>5024</v>
      </c>
      <c r="H657" s="1888">
        <v>12</v>
      </c>
      <c r="I657" s="748"/>
    </row>
    <row r="658" spans="3:9" ht="15.75" outlineLevel="2">
      <c r="C658" s="1848">
        <v>41274</v>
      </c>
      <c r="D658" s="1849" t="s">
        <v>180</v>
      </c>
      <c r="E658" s="1849" t="s">
        <v>1251</v>
      </c>
      <c r="F658" s="1849">
        <v>948</v>
      </c>
      <c r="G658" s="1874" t="s">
        <v>5024</v>
      </c>
      <c r="H658" s="1888">
        <v>12</v>
      </c>
      <c r="I658" s="748"/>
    </row>
    <row r="659" spans="3:9" ht="15.75" outlineLevel="2">
      <c r="C659" s="1848">
        <v>41279</v>
      </c>
      <c r="D659" s="1849" t="s">
        <v>1049</v>
      </c>
      <c r="E659" s="1849" t="s">
        <v>1251</v>
      </c>
      <c r="F659" s="1849">
        <v>948</v>
      </c>
      <c r="G659" s="1874" t="s">
        <v>5024</v>
      </c>
      <c r="H659" s="1888">
        <v>12</v>
      </c>
      <c r="I659" s="748"/>
    </row>
    <row r="660" spans="3:9" ht="15.75" outlineLevel="2">
      <c r="C660" s="1848">
        <v>41279</v>
      </c>
      <c r="D660" s="1849" t="s">
        <v>3910</v>
      </c>
      <c r="E660" s="1849" t="s">
        <v>1251</v>
      </c>
      <c r="F660" s="1849">
        <v>948</v>
      </c>
      <c r="G660" s="1874" t="s">
        <v>5024</v>
      </c>
      <c r="H660" s="1888">
        <v>12</v>
      </c>
      <c r="I660" s="748"/>
    </row>
    <row r="661" spans="3:9" ht="16.5" outlineLevel="1">
      <c r="C661" s="1848"/>
      <c r="D661" s="1849"/>
      <c r="E661" s="1893" t="s">
        <v>2476</v>
      </c>
      <c r="F661" s="1890"/>
      <c r="G661" s="1891"/>
      <c r="H661" s="1892">
        <f>SUBTOTAL(9,H657:H660)</f>
        <v>48</v>
      </c>
      <c r="I661" s="748"/>
    </row>
    <row r="662" spans="3:9" ht="15.75" outlineLevel="2">
      <c r="C662" s="1848">
        <v>41274</v>
      </c>
      <c r="D662" s="1849" t="s">
        <v>2787</v>
      </c>
      <c r="E662" s="1849" t="s">
        <v>1762</v>
      </c>
      <c r="F662" s="1849">
        <v>948</v>
      </c>
      <c r="G662" s="1874" t="s">
        <v>5024</v>
      </c>
      <c r="H662" s="1888">
        <v>12</v>
      </c>
      <c r="I662" s="748"/>
    </row>
    <row r="663" spans="3:9" ht="15.75" outlineLevel="2">
      <c r="C663" s="1848">
        <v>41274</v>
      </c>
      <c r="D663" s="1849" t="s">
        <v>183</v>
      </c>
      <c r="E663" s="1849" t="s">
        <v>1762</v>
      </c>
      <c r="F663" s="1849">
        <v>948</v>
      </c>
      <c r="G663" s="1874" t="s">
        <v>5024</v>
      </c>
      <c r="H663" s="1888">
        <v>12</v>
      </c>
      <c r="I663" s="748"/>
    </row>
    <row r="664" spans="3:9" ht="15.75" outlineLevel="2">
      <c r="C664" s="1848">
        <v>41279</v>
      </c>
      <c r="D664" s="1849" t="s">
        <v>185</v>
      </c>
      <c r="E664" s="1849" t="s">
        <v>1762</v>
      </c>
      <c r="F664" s="1849">
        <v>948</v>
      </c>
      <c r="G664" s="1874" t="s">
        <v>5024</v>
      </c>
      <c r="H664" s="1888">
        <v>12</v>
      </c>
      <c r="I664" s="748"/>
    </row>
    <row r="665" spans="3:9" ht="15.75" outlineLevel="2">
      <c r="C665" s="1848">
        <v>41279</v>
      </c>
      <c r="D665" s="1849" t="s">
        <v>4921</v>
      </c>
      <c r="E665" s="1849" t="s">
        <v>1762</v>
      </c>
      <c r="F665" s="1849">
        <v>948</v>
      </c>
      <c r="G665" s="1874" t="s">
        <v>5024</v>
      </c>
      <c r="H665" s="1888">
        <v>12</v>
      </c>
      <c r="I665" s="748"/>
    </row>
    <row r="666" spans="3:9" ht="16.5" outlineLevel="1">
      <c r="C666" s="1848"/>
      <c r="D666" s="1849"/>
      <c r="E666" s="1889" t="s">
        <v>2405</v>
      </c>
      <c r="F666" s="1890"/>
      <c r="G666" s="1891"/>
      <c r="H666" s="1892">
        <f>SUBTOTAL(9,H662:H665)</f>
        <v>48</v>
      </c>
      <c r="I666" s="748"/>
    </row>
    <row r="667" spans="3:9" ht="15.75" outlineLevel="2">
      <c r="C667" s="1848">
        <v>41274</v>
      </c>
      <c r="D667" s="1849" t="s">
        <v>928</v>
      </c>
      <c r="E667" s="1849" t="s">
        <v>929</v>
      </c>
      <c r="F667" s="1849">
        <v>948</v>
      </c>
      <c r="G667" s="1874" t="s">
        <v>5024</v>
      </c>
      <c r="H667" s="1888">
        <v>12</v>
      </c>
      <c r="I667" s="748"/>
    </row>
    <row r="668" spans="3:9" ht="15.75" outlineLevel="2">
      <c r="C668" s="1848">
        <v>41274</v>
      </c>
      <c r="D668" s="1849" t="s">
        <v>181</v>
      </c>
      <c r="E668" s="1849" t="s">
        <v>929</v>
      </c>
      <c r="F668" s="1849">
        <v>948</v>
      </c>
      <c r="G668" s="1874" t="s">
        <v>5024</v>
      </c>
      <c r="H668" s="1888">
        <v>12</v>
      </c>
      <c r="I668" s="748"/>
    </row>
    <row r="669" spans="3:9" ht="15.75" outlineLevel="2">
      <c r="C669" s="1848">
        <v>41279</v>
      </c>
      <c r="D669" s="1849" t="s">
        <v>1051</v>
      </c>
      <c r="E669" s="1849" t="s">
        <v>929</v>
      </c>
      <c r="F669" s="1849">
        <v>948</v>
      </c>
      <c r="G669" s="1874" t="s">
        <v>5024</v>
      </c>
      <c r="H669" s="1888">
        <v>12</v>
      </c>
      <c r="I669" s="748"/>
    </row>
    <row r="670" spans="3:9" ht="16.5" outlineLevel="1">
      <c r="C670" s="1848"/>
      <c r="D670" s="1849"/>
      <c r="E670" s="1889" t="s">
        <v>1271</v>
      </c>
      <c r="F670" s="1890"/>
      <c r="G670" s="1891"/>
      <c r="H670" s="1892">
        <f>SUBTOTAL(9,H667:H669)</f>
        <v>36</v>
      </c>
      <c r="I670" s="748"/>
    </row>
    <row r="671" spans="3:9" ht="19.5">
      <c r="C671" s="1848"/>
      <c r="D671" s="1849"/>
      <c r="E671" s="1895" t="s">
        <v>1392</v>
      </c>
      <c r="F671" s="1890"/>
      <c r="G671" s="1891"/>
      <c r="H671" s="1896">
        <f>SUBTOTAL(9,H615:H669)</f>
        <v>504</v>
      </c>
      <c r="I671" s="748"/>
    </row>
    <row r="672" spans="3:9" ht="15">
      <c r="C672" s="1848"/>
      <c r="D672" s="1849"/>
      <c r="E672" s="1849"/>
    </row>
    <row r="673" spans="3:9" ht="15">
      <c r="C673" s="1848"/>
      <c r="D673" s="9" t="s">
        <v>485</v>
      </c>
      <c r="E673" s="1937" t="s">
        <v>174</v>
      </c>
      <c r="F673" s="1938" t="s">
        <v>4617</v>
      </c>
    </row>
    <row r="674" spans="3:9" ht="15">
      <c r="C674" s="1848"/>
      <c r="D674" s="9" t="s">
        <v>1229</v>
      </c>
      <c r="E674" s="1939">
        <v>0.25</v>
      </c>
      <c r="F674" s="1940">
        <v>40</v>
      </c>
    </row>
    <row r="675" spans="3:9" ht="15">
      <c r="C675" s="1848"/>
      <c r="D675" s="9" t="s">
        <v>1229</v>
      </c>
      <c r="E675" s="1939">
        <v>0.375</v>
      </c>
      <c r="F675" s="1940">
        <v>40</v>
      </c>
    </row>
    <row r="676" spans="3:9" ht="15">
      <c r="C676" s="1848"/>
      <c r="D676" s="9" t="s">
        <v>1229</v>
      </c>
      <c r="E676" s="1939">
        <v>0.5</v>
      </c>
      <c r="F676" s="1940">
        <v>16</v>
      </c>
    </row>
    <row r="677" spans="3:9" ht="15">
      <c r="C677" s="1848"/>
      <c r="D677" s="9" t="s">
        <v>1230</v>
      </c>
      <c r="E677" s="1939">
        <v>0.25</v>
      </c>
      <c r="F677" s="1940">
        <v>40</v>
      </c>
    </row>
    <row r="678" spans="3:9" ht="15">
      <c r="C678" s="1848"/>
      <c r="D678" s="9" t="s">
        <v>1230</v>
      </c>
      <c r="E678" s="1939">
        <v>0.375</v>
      </c>
      <c r="F678" s="1940">
        <v>40</v>
      </c>
    </row>
    <row r="679" spans="3:9" ht="15">
      <c r="C679" s="1848"/>
      <c r="D679" s="9" t="s">
        <v>1230</v>
      </c>
      <c r="E679" s="1939">
        <v>0.5</v>
      </c>
      <c r="F679" s="1940">
        <v>16</v>
      </c>
    </row>
    <row r="680" spans="3:9" ht="15">
      <c r="C680" s="1848"/>
      <c r="D680" s="9" t="s">
        <v>1160</v>
      </c>
      <c r="E680" s="7" t="s">
        <v>3142</v>
      </c>
      <c r="F680" s="1940">
        <v>16</v>
      </c>
    </row>
    <row r="681" spans="3:9" ht="15">
      <c r="C681" s="1848"/>
      <c r="D681" s="9" t="s">
        <v>3141</v>
      </c>
      <c r="E681" s="7" t="s">
        <v>3408</v>
      </c>
      <c r="F681" s="1940">
        <v>16</v>
      </c>
    </row>
    <row r="682" spans="3:9" ht="15">
      <c r="C682" s="1848"/>
    </row>
    <row r="683" spans="3:9" ht="15">
      <c r="C683" s="1848"/>
      <c r="D683" s="428" t="s">
        <v>946</v>
      </c>
    </row>
    <row r="684" spans="3:9" ht="15">
      <c r="C684" s="1848"/>
      <c r="D684" s="428" t="s">
        <v>1113</v>
      </c>
    </row>
    <row r="685" spans="3:9" ht="15">
      <c r="C685" s="1848"/>
    </row>
    <row r="686" spans="3:9" ht="16.5">
      <c r="C686" s="1839" t="s">
        <v>38</v>
      </c>
      <c r="D686" s="1840"/>
      <c r="E686" s="1841"/>
      <c r="F686" s="1842"/>
      <c r="G686" s="1841"/>
      <c r="H686" s="1843"/>
    </row>
    <row r="687" spans="3:9" ht="14.25" thickBot="1">
      <c r="C687" s="1844" t="s">
        <v>762</v>
      </c>
      <c r="D687" s="1845" t="s">
        <v>1984</v>
      </c>
      <c r="E687" s="1846" t="s">
        <v>2067</v>
      </c>
      <c r="F687" s="1844" t="s">
        <v>1702</v>
      </c>
      <c r="G687" s="1847" t="s">
        <v>1459</v>
      </c>
      <c r="H687" s="1845" t="s">
        <v>3372</v>
      </c>
      <c r="I687" s="1790" t="s">
        <v>2066</v>
      </c>
    </row>
    <row r="688" spans="3:9" ht="13.5" outlineLevel="2" thickTop="1">
      <c r="C688" s="1619">
        <v>41384</v>
      </c>
      <c r="D688" s="13" t="s">
        <v>2424</v>
      </c>
      <c r="E688" s="13" t="s">
        <v>4269</v>
      </c>
      <c r="F688" s="13">
        <v>1013</v>
      </c>
      <c r="G688" s="13" t="s">
        <v>4539</v>
      </c>
      <c r="H688">
        <v>12</v>
      </c>
    </row>
    <row r="689" spans="3:8" outlineLevel="2">
      <c r="C689" s="1619">
        <v>41384</v>
      </c>
      <c r="D689" s="13" t="s">
        <v>2425</v>
      </c>
      <c r="E689" s="13" t="s">
        <v>4269</v>
      </c>
      <c r="F689" s="13">
        <v>1013</v>
      </c>
      <c r="G689" s="13" t="s">
        <v>4539</v>
      </c>
      <c r="H689" s="80">
        <v>12</v>
      </c>
    </row>
    <row r="690" spans="3:8" ht="15.75" outlineLevel="1">
      <c r="C690" s="1619"/>
      <c r="D690" s="13"/>
      <c r="E690" s="1620" t="s">
        <v>2400</v>
      </c>
      <c r="F690" s="2" t="s">
        <v>1975</v>
      </c>
      <c r="G690" s="13"/>
      <c r="H690" s="441">
        <f>SUBTOTAL(9,H688:H689)</f>
        <v>24</v>
      </c>
    </row>
    <row r="691" spans="3:8" outlineLevel="2">
      <c r="C691" s="1619">
        <v>41383</v>
      </c>
      <c r="D691" s="13" t="s">
        <v>1222</v>
      </c>
      <c r="E691" s="13" t="s">
        <v>1461</v>
      </c>
      <c r="F691" s="13">
        <v>1010</v>
      </c>
      <c r="G691" s="13" t="s">
        <v>1223</v>
      </c>
      <c r="H691">
        <v>12</v>
      </c>
    </row>
    <row r="692" spans="3:8" outlineLevel="2">
      <c r="C692" s="1619">
        <v>41383</v>
      </c>
      <c r="D692" s="13" t="s">
        <v>830</v>
      </c>
      <c r="E692" s="13" t="s">
        <v>1461</v>
      </c>
      <c r="F692" s="13">
        <v>1010</v>
      </c>
      <c r="G692" s="13" t="s">
        <v>2436</v>
      </c>
      <c r="H692" s="80">
        <v>12</v>
      </c>
    </row>
    <row r="693" spans="3:8" ht="15.75" outlineLevel="1">
      <c r="C693" s="1619"/>
      <c r="D693" s="13"/>
      <c r="E693" s="2" t="s">
        <v>2755</v>
      </c>
      <c r="F693" s="2" t="s">
        <v>1976</v>
      </c>
      <c r="G693" s="13"/>
      <c r="H693" s="441">
        <f>SUBTOTAL(9,H691:H692)</f>
        <v>24</v>
      </c>
    </row>
    <row r="694" spans="3:8" outlineLevel="2">
      <c r="C694" s="1619">
        <v>41385</v>
      </c>
      <c r="D694" s="13" t="s">
        <v>2106</v>
      </c>
      <c r="E694" s="13" t="s">
        <v>290</v>
      </c>
      <c r="F694" s="13">
        <v>1016</v>
      </c>
      <c r="G694" s="13" t="s">
        <v>36</v>
      </c>
      <c r="H694">
        <v>11</v>
      </c>
    </row>
    <row r="695" spans="3:8" outlineLevel="2">
      <c r="C695" s="1619">
        <v>41385</v>
      </c>
      <c r="D695" s="13" t="s">
        <v>37</v>
      </c>
      <c r="E695" s="13" t="s">
        <v>290</v>
      </c>
      <c r="F695" s="13">
        <v>1016</v>
      </c>
      <c r="G695" s="13" t="s">
        <v>36</v>
      </c>
      <c r="H695" s="80">
        <v>11</v>
      </c>
    </row>
    <row r="696" spans="3:8" ht="15.75" outlineLevel="1">
      <c r="C696" s="1619"/>
      <c r="D696" s="13"/>
      <c r="E696" s="2" t="s">
        <v>1571</v>
      </c>
      <c r="F696" s="2" t="s">
        <v>464</v>
      </c>
      <c r="G696" s="13"/>
      <c r="H696" s="441">
        <f>SUBTOTAL(9,H694:H695)</f>
        <v>22</v>
      </c>
    </row>
    <row r="697" spans="3:8" outlineLevel="2">
      <c r="C697" s="1619">
        <v>41384</v>
      </c>
      <c r="D697" s="13" t="s">
        <v>2426</v>
      </c>
      <c r="E697" s="13" t="s">
        <v>646</v>
      </c>
      <c r="F697" s="13">
        <v>1013</v>
      </c>
      <c r="G697" s="13" t="s">
        <v>4539</v>
      </c>
      <c r="H697">
        <v>12</v>
      </c>
    </row>
    <row r="698" spans="3:8" outlineLevel="2">
      <c r="C698" s="1619">
        <v>41384</v>
      </c>
      <c r="D698" s="13" t="s">
        <v>2632</v>
      </c>
      <c r="E698" s="13" t="s">
        <v>646</v>
      </c>
      <c r="F698" s="13">
        <v>1014</v>
      </c>
      <c r="G698" s="13" t="s">
        <v>2229</v>
      </c>
      <c r="H698">
        <v>12</v>
      </c>
    </row>
    <row r="699" spans="3:8" outlineLevel="2">
      <c r="C699" s="1619">
        <v>41384</v>
      </c>
      <c r="D699" s="13" t="s">
        <v>2428</v>
      </c>
      <c r="E699" s="13" t="s">
        <v>646</v>
      </c>
      <c r="F699" s="13">
        <v>1014</v>
      </c>
      <c r="G699" s="13" t="s">
        <v>2229</v>
      </c>
      <c r="H699">
        <v>12</v>
      </c>
    </row>
    <row r="700" spans="3:8" outlineLevel="2">
      <c r="C700" s="1619">
        <v>41384</v>
      </c>
      <c r="D700" s="13" t="s">
        <v>2427</v>
      </c>
      <c r="E700" s="13" t="s">
        <v>646</v>
      </c>
      <c r="F700" s="13">
        <v>1013</v>
      </c>
      <c r="G700" s="13" t="s">
        <v>4539</v>
      </c>
      <c r="H700" s="80">
        <v>12</v>
      </c>
    </row>
    <row r="701" spans="3:8" ht="15.75" outlineLevel="1">
      <c r="C701" s="1619"/>
      <c r="D701" s="13"/>
      <c r="E701" s="2" t="s">
        <v>2622</v>
      </c>
      <c r="F701" s="2" t="s">
        <v>465</v>
      </c>
      <c r="G701" s="13"/>
      <c r="H701" s="441">
        <f>SUBTOTAL(9,H697:H700)</f>
        <v>48</v>
      </c>
    </row>
    <row r="702" spans="3:8" ht="15.75">
      <c r="C702" s="1619"/>
      <c r="D702" s="13"/>
      <c r="F702" s="13"/>
      <c r="G702" s="441" t="s">
        <v>3261</v>
      </c>
      <c r="H702" s="441">
        <f>SUBTOTAL(9,H688:H700)</f>
        <v>118</v>
      </c>
    </row>
    <row r="703" spans="3:8" ht="15">
      <c r="C703" s="1848"/>
    </row>
    <row r="704" spans="3:8" ht="15">
      <c r="C704" s="1848"/>
    </row>
    <row r="705" spans="3:9" ht="15">
      <c r="C705" s="1848"/>
    </row>
    <row r="706" spans="3:9" ht="16.5">
      <c r="C706" s="1839" t="s">
        <v>2843</v>
      </c>
      <c r="D706" s="1840"/>
      <c r="E706" s="1841"/>
      <c r="F706" s="1842"/>
      <c r="G706" s="1841"/>
      <c r="H706" s="1843"/>
    </row>
    <row r="707" spans="3:9" ht="14.25" thickBot="1">
      <c r="C707" s="1844" t="s">
        <v>762</v>
      </c>
      <c r="D707" s="1845" t="s">
        <v>1984</v>
      </c>
      <c r="E707" s="1846" t="s">
        <v>2067</v>
      </c>
      <c r="F707" s="1844" t="s">
        <v>1702</v>
      </c>
      <c r="G707" s="1847" t="s">
        <v>1459</v>
      </c>
      <c r="H707" s="1845" t="s">
        <v>3372</v>
      </c>
      <c r="I707" s="1790" t="s">
        <v>2066</v>
      </c>
    </row>
    <row r="708" spans="3:9" ht="13.5" outlineLevel="2" thickTop="1">
      <c r="C708" s="1619">
        <v>41392</v>
      </c>
      <c r="D708" s="13" t="s">
        <v>3555</v>
      </c>
      <c r="E708" s="13" t="s">
        <v>167</v>
      </c>
      <c r="F708" s="13">
        <v>1018</v>
      </c>
      <c r="G708" s="13" t="s">
        <v>4539</v>
      </c>
      <c r="H708">
        <v>24</v>
      </c>
    </row>
    <row r="709" spans="3:9" outlineLevel="2">
      <c r="C709" s="1619">
        <v>41392</v>
      </c>
      <c r="D709" s="13" t="s">
        <v>4642</v>
      </c>
      <c r="E709" s="13" t="s">
        <v>167</v>
      </c>
      <c r="F709" s="13">
        <v>1018</v>
      </c>
      <c r="G709" s="13" t="s">
        <v>4539</v>
      </c>
      <c r="H709">
        <v>24</v>
      </c>
    </row>
    <row r="710" spans="3:9" outlineLevel="2">
      <c r="C710" s="1619">
        <v>41392</v>
      </c>
      <c r="D710" s="13" t="s">
        <v>3556</v>
      </c>
      <c r="E710" s="13" t="s">
        <v>167</v>
      </c>
      <c r="F710" s="13">
        <v>1018</v>
      </c>
      <c r="G710" s="13" t="s">
        <v>4539</v>
      </c>
      <c r="H710">
        <v>24</v>
      </c>
    </row>
    <row r="711" spans="3:9" outlineLevel="2">
      <c r="C711" s="1619">
        <v>41392</v>
      </c>
      <c r="D711" s="13" t="s">
        <v>3741</v>
      </c>
      <c r="E711" s="13" t="s">
        <v>167</v>
      </c>
      <c r="F711" s="13">
        <v>1018</v>
      </c>
      <c r="G711" s="13" t="s">
        <v>4539</v>
      </c>
      <c r="H711">
        <v>24</v>
      </c>
    </row>
    <row r="712" spans="3:9" outlineLevel="2">
      <c r="C712" s="1619">
        <v>41392</v>
      </c>
      <c r="D712" s="13" t="s">
        <v>4711</v>
      </c>
      <c r="E712" s="13" t="s">
        <v>167</v>
      </c>
      <c r="F712" s="13">
        <v>1019</v>
      </c>
      <c r="G712" s="13" t="s">
        <v>2229</v>
      </c>
      <c r="H712">
        <v>24</v>
      </c>
    </row>
    <row r="713" spans="3:9" ht="15.75" outlineLevel="1">
      <c r="C713" s="1619"/>
      <c r="D713" s="13"/>
      <c r="E713" s="1620" t="s">
        <v>842</v>
      </c>
      <c r="F713" s="441" t="s">
        <v>3488</v>
      </c>
      <c r="G713" s="441"/>
      <c r="H713" s="441">
        <f>SUBTOTAL(9,H708:H712)</f>
        <v>120</v>
      </c>
    </row>
    <row r="714" spans="3:9" outlineLevel="2">
      <c r="C714" s="1619">
        <v>41391</v>
      </c>
      <c r="D714" s="13" t="s">
        <v>3023</v>
      </c>
      <c r="E714" s="13" t="s">
        <v>3024</v>
      </c>
      <c r="F714" s="13">
        <v>1019</v>
      </c>
      <c r="G714" s="13" t="s">
        <v>1159</v>
      </c>
      <c r="H714">
        <v>12</v>
      </c>
    </row>
    <row r="715" spans="3:9" outlineLevel="2">
      <c r="C715" s="1619">
        <v>41391</v>
      </c>
      <c r="D715" s="13" t="s">
        <v>1498</v>
      </c>
      <c r="E715" s="13" t="s">
        <v>3024</v>
      </c>
      <c r="F715" s="13">
        <v>1018</v>
      </c>
      <c r="G715" s="13" t="s">
        <v>4539</v>
      </c>
      <c r="H715">
        <v>12</v>
      </c>
    </row>
    <row r="716" spans="3:9" outlineLevel="2">
      <c r="C716" s="1619">
        <v>41391</v>
      </c>
      <c r="D716" s="13" t="s">
        <v>3951</v>
      </c>
      <c r="E716" s="13" t="s">
        <v>3024</v>
      </c>
      <c r="F716" s="13">
        <v>1018</v>
      </c>
      <c r="G716" s="13" t="s">
        <v>4539</v>
      </c>
      <c r="H716">
        <v>12</v>
      </c>
    </row>
    <row r="717" spans="3:9" outlineLevel="2">
      <c r="C717" s="1619">
        <v>41391</v>
      </c>
      <c r="D717" s="13" t="s">
        <v>3950</v>
      </c>
      <c r="E717" s="13" t="s">
        <v>3024</v>
      </c>
      <c r="F717" s="13">
        <v>1018</v>
      </c>
      <c r="G717" s="13" t="s">
        <v>4539</v>
      </c>
      <c r="H717">
        <v>12</v>
      </c>
    </row>
    <row r="718" spans="3:9" outlineLevel="2">
      <c r="C718" s="1619">
        <v>41391</v>
      </c>
      <c r="D718" s="13" t="s">
        <v>3953</v>
      </c>
      <c r="E718" s="13" t="s">
        <v>3024</v>
      </c>
      <c r="F718" s="13">
        <v>1018</v>
      </c>
      <c r="G718" s="13" t="s">
        <v>4539</v>
      </c>
      <c r="H718">
        <v>12</v>
      </c>
    </row>
    <row r="719" spans="3:9" outlineLevel="2">
      <c r="C719" s="1619">
        <v>41391</v>
      </c>
      <c r="D719" s="13" t="s">
        <v>3952</v>
      </c>
      <c r="E719" s="13" t="s">
        <v>3024</v>
      </c>
      <c r="F719" s="13">
        <v>1018</v>
      </c>
      <c r="G719" s="13" t="s">
        <v>4539</v>
      </c>
      <c r="H719">
        <v>12</v>
      </c>
    </row>
    <row r="720" spans="3:9" outlineLevel="2">
      <c r="C720" s="1619">
        <v>41391</v>
      </c>
      <c r="D720" s="13" t="s">
        <v>3397</v>
      </c>
      <c r="E720" s="13" t="s">
        <v>3024</v>
      </c>
      <c r="F720" s="13">
        <v>1019</v>
      </c>
      <c r="G720" s="13" t="s">
        <v>2229</v>
      </c>
      <c r="H720">
        <v>12</v>
      </c>
    </row>
    <row r="721" spans="3:12" outlineLevel="2">
      <c r="C721" s="1619">
        <v>41392</v>
      </c>
      <c r="D721" s="13" t="s">
        <v>4826</v>
      </c>
      <c r="E721" s="13" t="s">
        <v>3024</v>
      </c>
      <c r="F721" s="13">
        <v>1018</v>
      </c>
      <c r="G721" s="13" t="s">
        <v>4539</v>
      </c>
      <c r="H721">
        <v>24</v>
      </c>
    </row>
    <row r="722" spans="3:12" outlineLevel="2">
      <c r="C722" s="1619">
        <v>41392</v>
      </c>
      <c r="D722" s="13" t="s">
        <v>3954</v>
      </c>
      <c r="E722" s="13" t="s">
        <v>3024</v>
      </c>
      <c r="F722" s="13">
        <v>1018</v>
      </c>
      <c r="G722" s="13" t="s">
        <v>4539</v>
      </c>
      <c r="H722">
        <v>24</v>
      </c>
    </row>
    <row r="723" spans="3:12" outlineLevel="2">
      <c r="C723" s="1619">
        <v>41392</v>
      </c>
      <c r="D723" s="13" t="s">
        <v>1797</v>
      </c>
      <c r="E723" s="13" t="s">
        <v>3024</v>
      </c>
      <c r="F723" s="13">
        <v>1018</v>
      </c>
      <c r="G723" s="13" t="s">
        <v>4539</v>
      </c>
      <c r="H723">
        <v>24</v>
      </c>
    </row>
    <row r="724" spans="3:12" outlineLevel="2">
      <c r="C724" s="1619">
        <v>41392</v>
      </c>
      <c r="D724" s="13" t="s">
        <v>4827</v>
      </c>
      <c r="E724" s="13" t="s">
        <v>3024</v>
      </c>
      <c r="F724" s="13">
        <v>1018</v>
      </c>
      <c r="G724" s="13" t="s">
        <v>873</v>
      </c>
      <c r="H724">
        <v>24</v>
      </c>
    </row>
    <row r="725" spans="3:12" ht="15" outlineLevel="1">
      <c r="C725" s="1619"/>
      <c r="D725" s="13"/>
      <c r="E725" s="2" t="s">
        <v>4693</v>
      </c>
      <c r="F725" s="1954" t="s">
        <v>2844</v>
      </c>
      <c r="G725" s="1954"/>
      <c r="H725" s="1954">
        <f>SUBTOTAL(9,H714:H724)</f>
        <v>180</v>
      </c>
    </row>
    <row r="726" spans="3:12" ht="15.75">
      <c r="C726" s="1619"/>
      <c r="D726" s="13"/>
      <c r="E726" s="2"/>
      <c r="F726" s="13"/>
      <c r="G726" s="441" t="s">
        <v>3261</v>
      </c>
      <c r="H726" s="441">
        <f>SUBTOTAL(9,H708:H724)</f>
        <v>300</v>
      </c>
    </row>
    <row r="728" spans="3:12" ht="16.5">
      <c r="C728" s="1839" t="s">
        <v>3663</v>
      </c>
      <c r="D728" s="1840"/>
      <c r="E728" s="1841"/>
      <c r="F728" s="1842"/>
      <c r="G728" s="1841"/>
      <c r="H728" s="1843"/>
    </row>
    <row r="729" spans="3:12" ht="14.25" thickBot="1">
      <c r="C729" s="1844" t="s">
        <v>762</v>
      </c>
      <c r="D729" s="1845" t="s">
        <v>1984</v>
      </c>
      <c r="E729" s="1846" t="s">
        <v>2067</v>
      </c>
      <c r="F729" s="1844" t="s">
        <v>1702</v>
      </c>
      <c r="G729" s="1847" t="s">
        <v>1459</v>
      </c>
      <c r="H729" s="1845" t="s">
        <v>3372</v>
      </c>
      <c r="I729" s="1790" t="s">
        <v>2066</v>
      </c>
    </row>
    <row r="730" spans="3:12" ht="13.5" outlineLevel="2" thickTop="1">
      <c r="C730" s="636">
        <v>41484</v>
      </c>
      <c r="D730" s="13" t="s">
        <v>4228</v>
      </c>
      <c r="E730" s="13" t="s">
        <v>56</v>
      </c>
      <c r="F730" s="491">
        <v>1075</v>
      </c>
      <c r="G730" t="s">
        <v>1210</v>
      </c>
      <c r="H730" s="68">
        <v>10</v>
      </c>
    </row>
    <row r="731" spans="3:12" outlineLevel="2">
      <c r="C731" s="636">
        <v>41484</v>
      </c>
      <c r="D731" s="13" t="s">
        <v>555</v>
      </c>
      <c r="E731" s="13" t="s">
        <v>56</v>
      </c>
      <c r="F731" s="491">
        <v>1075</v>
      </c>
      <c r="G731" t="s">
        <v>1210</v>
      </c>
      <c r="H731" s="68">
        <v>10</v>
      </c>
    </row>
    <row r="732" spans="3:12" outlineLevel="2">
      <c r="C732" s="636">
        <v>41484</v>
      </c>
      <c r="D732" s="13" t="s">
        <v>1123</v>
      </c>
      <c r="E732" s="13" t="s">
        <v>56</v>
      </c>
      <c r="F732" s="491">
        <v>1075</v>
      </c>
      <c r="G732" t="s">
        <v>1210</v>
      </c>
      <c r="H732" s="68">
        <v>10</v>
      </c>
      <c r="K732" s="13"/>
      <c r="L732" s="13"/>
    </row>
    <row r="733" spans="3:12" outlineLevel="2">
      <c r="C733" s="636">
        <v>41484</v>
      </c>
      <c r="D733" s="13" t="s">
        <v>2000</v>
      </c>
      <c r="E733" s="13" t="s">
        <v>56</v>
      </c>
      <c r="F733" s="491">
        <v>1075</v>
      </c>
      <c r="G733" t="s">
        <v>1210</v>
      </c>
      <c r="H733" s="68">
        <v>10</v>
      </c>
      <c r="K733" s="13"/>
      <c r="L733" s="13"/>
    </row>
    <row r="734" spans="3:12" ht="15" outlineLevel="1">
      <c r="C734" s="636"/>
      <c r="D734" s="13"/>
      <c r="E734" s="2018" t="s">
        <v>2728</v>
      </c>
      <c r="F734" s="491"/>
      <c r="H734" s="2019">
        <f>SUBTOTAL(9,H730:H733)</f>
        <v>40</v>
      </c>
      <c r="K734" s="13"/>
      <c r="L734" s="13"/>
    </row>
    <row r="735" spans="3:12" outlineLevel="2">
      <c r="C735" s="636">
        <v>41484</v>
      </c>
      <c r="D735" s="13" t="s">
        <v>2688</v>
      </c>
      <c r="E735" s="13" t="s">
        <v>1527</v>
      </c>
      <c r="F735" s="491">
        <v>1075</v>
      </c>
      <c r="G735" t="s">
        <v>1210</v>
      </c>
      <c r="H735" s="68">
        <v>10</v>
      </c>
      <c r="K735" s="13"/>
      <c r="L735" s="13"/>
    </row>
    <row r="736" spans="3:12" outlineLevel="2">
      <c r="C736" s="636">
        <v>41484</v>
      </c>
      <c r="D736" s="13" t="s">
        <v>563</v>
      </c>
      <c r="E736" s="13" t="s">
        <v>1527</v>
      </c>
      <c r="F736" s="491">
        <v>1075</v>
      </c>
      <c r="G736" t="s">
        <v>1210</v>
      </c>
      <c r="H736" s="68">
        <v>10</v>
      </c>
      <c r="K736" s="13"/>
      <c r="L736" s="13"/>
    </row>
    <row r="737" spans="3:12" outlineLevel="2">
      <c r="C737" s="636">
        <v>41484</v>
      </c>
      <c r="D737" s="13" t="s">
        <v>4166</v>
      </c>
      <c r="E737" s="13" t="s">
        <v>1527</v>
      </c>
      <c r="F737" s="491">
        <v>1075</v>
      </c>
      <c r="G737" t="s">
        <v>1210</v>
      </c>
      <c r="H737" s="68">
        <v>10</v>
      </c>
      <c r="K737" s="13"/>
      <c r="L737" s="13"/>
    </row>
    <row r="738" spans="3:12" ht="15" outlineLevel="1">
      <c r="C738" s="636"/>
      <c r="D738" s="13"/>
      <c r="E738" s="1954" t="s">
        <v>67</v>
      </c>
      <c r="F738" s="491"/>
      <c r="H738" s="2019">
        <f>SUBTOTAL(9,H735:H737)</f>
        <v>30</v>
      </c>
      <c r="K738" s="13"/>
      <c r="L738" s="13"/>
    </row>
    <row r="739" spans="3:12" outlineLevel="2">
      <c r="C739" s="636">
        <v>41484</v>
      </c>
      <c r="D739" s="13" t="s">
        <v>2367</v>
      </c>
      <c r="E739" s="13" t="s">
        <v>3050</v>
      </c>
      <c r="F739" s="491">
        <v>1075</v>
      </c>
      <c r="G739" t="s">
        <v>1210</v>
      </c>
      <c r="H739" s="68">
        <v>10</v>
      </c>
      <c r="K739" s="13"/>
      <c r="L739" s="13"/>
    </row>
    <row r="740" spans="3:12" outlineLevel="2">
      <c r="C740" s="636">
        <v>41484</v>
      </c>
      <c r="D740" s="13" t="s">
        <v>554</v>
      </c>
      <c r="E740" s="13" t="s">
        <v>3050</v>
      </c>
      <c r="F740" s="491">
        <v>1075</v>
      </c>
      <c r="G740" t="s">
        <v>1210</v>
      </c>
      <c r="H740" s="68">
        <v>10</v>
      </c>
      <c r="K740" s="13"/>
      <c r="L740" s="13"/>
    </row>
    <row r="741" spans="3:12" outlineLevel="2">
      <c r="C741" s="636">
        <v>41484</v>
      </c>
      <c r="D741" s="13" t="s">
        <v>1122</v>
      </c>
      <c r="E741" s="13" t="s">
        <v>3050</v>
      </c>
      <c r="F741" s="491">
        <v>1075</v>
      </c>
      <c r="G741" t="s">
        <v>1210</v>
      </c>
      <c r="H741" s="68">
        <v>10</v>
      </c>
      <c r="K741" s="13"/>
      <c r="L741" s="13"/>
    </row>
    <row r="742" spans="3:12" outlineLevel="2">
      <c r="C742" s="636">
        <v>41484</v>
      </c>
      <c r="D742" s="13" t="s">
        <v>2001</v>
      </c>
      <c r="E742" s="13" t="s">
        <v>3050</v>
      </c>
      <c r="F742" s="491">
        <v>1075</v>
      </c>
      <c r="G742" t="s">
        <v>1210</v>
      </c>
      <c r="H742" s="68">
        <v>10</v>
      </c>
      <c r="K742" s="13"/>
      <c r="L742" s="13"/>
    </row>
    <row r="743" spans="3:12" ht="15" outlineLevel="1">
      <c r="C743" s="636"/>
      <c r="D743" s="13"/>
      <c r="E743" s="1954" t="s">
        <v>68</v>
      </c>
      <c r="F743" s="491"/>
      <c r="H743" s="2019">
        <f>SUBTOTAL(9,H739:H742)</f>
        <v>40</v>
      </c>
      <c r="K743" s="13"/>
      <c r="L743" s="13"/>
    </row>
    <row r="744" spans="3:12" outlineLevel="2">
      <c r="C744" s="636">
        <v>41484</v>
      </c>
      <c r="D744" s="13" t="s">
        <v>4017</v>
      </c>
      <c r="E744" s="13" t="s">
        <v>2442</v>
      </c>
      <c r="F744" s="491">
        <v>1075</v>
      </c>
      <c r="G744" t="s">
        <v>1210</v>
      </c>
      <c r="H744" s="68">
        <v>10</v>
      </c>
      <c r="K744" s="13"/>
      <c r="L744" s="13"/>
    </row>
    <row r="745" spans="3:12" outlineLevel="2">
      <c r="C745" s="636">
        <v>41484</v>
      </c>
      <c r="D745" s="13" t="s">
        <v>1119</v>
      </c>
      <c r="E745" s="13" t="s">
        <v>2442</v>
      </c>
      <c r="F745" s="491">
        <v>1075</v>
      </c>
      <c r="G745" t="s">
        <v>1210</v>
      </c>
      <c r="H745" s="68">
        <v>10</v>
      </c>
      <c r="K745" s="13"/>
      <c r="L745" s="13"/>
    </row>
    <row r="746" spans="3:12" outlineLevel="2">
      <c r="C746" s="636">
        <v>41484</v>
      </c>
      <c r="D746" s="13" t="s">
        <v>1999</v>
      </c>
      <c r="E746" s="13" t="s">
        <v>2442</v>
      </c>
      <c r="F746" s="491">
        <v>1075</v>
      </c>
      <c r="G746" t="s">
        <v>1210</v>
      </c>
      <c r="H746" s="68">
        <v>10</v>
      </c>
      <c r="K746" s="13"/>
      <c r="L746" s="13"/>
    </row>
    <row r="747" spans="3:12" ht="15" outlineLevel="1">
      <c r="C747" s="636"/>
      <c r="D747" s="13"/>
      <c r="E747" s="1954" t="s">
        <v>69</v>
      </c>
      <c r="F747" s="491"/>
      <c r="H747" s="2019">
        <f>SUBTOTAL(9,H744:H746)</f>
        <v>30</v>
      </c>
      <c r="K747" s="13"/>
      <c r="L747" s="13"/>
    </row>
    <row r="748" spans="3:12" outlineLevel="2">
      <c r="C748" s="636">
        <v>41484</v>
      </c>
      <c r="D748" s="13" t="s">
        <v>2364</v>
      </c>
      <c r="E748" s="13" t="s">
        <v>3054</v>
      </c>
      <c r="F748" s="491">
        <v>1075</v>
      </c>
      <c r="G748" t="s">
        <v>1210</v>
      </c>
      <c r="H748" s="68">
        <v>10</v>
      </c>
      <c r="K748" s="13"/>
      <c r="L748" s="13"/>
    </row>
    <row r="749" spans="3:12" outlineLevel="2">
      <c r="C749" s="636">
        <v>41484</v>
      </c>
      <c r="D749" s="13" t="s">
        <v>4018</v>
      </c>
      <c r="E749" s="13" t="s">
        <v>3054</v>
      </c>
      <c r="F749" s="491">
        <v>1075</v>
      </c>
      <c r="G749" t="s">
        <v>1210</v>
      </c>
      <c r="H749" s="68">
        <v>10</v>
      </c>
      <c r="K749" s="13"/>
      <c r="L749" s="13"/>
    </row>
    <row r="750" spans="3:12" outlineLevel="2">
      <c r="C750" s="636">
        <v>41484</v>
      </c>
      <c r="D750" s="13" t="s">
        <v>2053</v>
      </c>
      <c r="E750" s="13" t="s">
        <v>3054</v>
      </c>
      <c r="F750" s="491">
        <v>1075</v>
      </c>
      <c r="G750" t="s">
        <v>1210</v>
      </c>
      <c r="H750" s="68">
        <v>10</v>
      </c>
      <c r="K750" s="13"/>
      <c r="L750" s="13"/>
    </row>
    <row r="751" spans="3:12" outlineLevel="2">
      <c r="C751" s="636">
        <v>41484</v>
      </c>
      <c r="D751" s="13" t="s">
        <v>2002</v>
      </c>
      <c r="E751" s="13" t="s">
        <v>3054</v>
      </c>
      <c r="F751" s="491">
        <v>1075</v>
      </c>
      <c r="G751" t="s">
        <v>1210</v>
      </c>
      <c r="H751" s="68">
        <v>10</v>
      </c>
      <c r="K751" s="13"/>
      <c r="L751" s="13"/>
    </row>
    <row r="752" spans="3:12" ht="15" outlineLevel="1">
      <c r="C752" s="636"/>
      <c r="D752" s="13"/>
      <c r="E752" s="1954" t="s">
        <v>2103</v>
      </c>
      <c r="F752" s="491"/>
      <c r="H752" s="2019">
        <f>SUBTOTAL(9,H748:H751)</f>
        <v>40</v>
      </c>
      <c r="K752" s="13"/>
      <c r="L752" s="13"/>
    </row>
    <row r="753" spans="3:12" outlineLevel="2">
      <c r="C753" s="636">
        <v>41484</v>
      </c>
      <c r="D753" s="13" t="s">
        <v>2363</v>
      </c>
      <c r="E753" s="13" t="s">
        <v>2362</v>
      </c>
      <c r="F753" s="491">
        <v>1075</v>
      </c>
      <c r="G753" t="s">
        <v>1210</v>
      </c>
      <c r="H753" s="68">
        <v>10</v>
      </c>
      <c r="K753" s="13"/>
      <c r="L753" s="13"/>
    </row>
    <row r="754" spans="3:12" outlineLevel="2">
      <c r="C754" s="636">
        <v>41484</v>
      </c>
      <c r="D754" s="13" t="s">
        <v>4019</v>
      </c>
      <c r="E754" s="13" t="s">
        <v>2362</v>
      </c>
      <c r="F754" s="491">
        <v>1075</v>
      </c>
      <c r="G754" t="s">
        <v>1210</v>
      </c>
      <c r="H754" s="68">
        <v>10</v>
      </c>
      <c r="K754" s="13"/>
      <c r="L754" s="13"/>
    </row>
    <row r="755" spans="3:12" outlineLevel="2">
      <c r="C755" s="636">
        <v>41484</v>
      </c>
      <c r="D755" s="13" t="s">
        <v>1120</v>
      </c>
      <c r="E755" s="13" t="s">
        <v>2362</v>
      </c>
      <c r="F755" s="491">
        <v>1075</v>
      </c>
      <c r="G755" t="s">
        <v>1210</v>
      </c>
      <c r="H755" s="68">
        <v>10</v>
      </c>
      <c r="K755" s="13"/>
      <c r="L755" s="13"/>
    </row>
    <row r="756" spans="3:12" outlineLevel="2">
      <c r="C756" s="636">
        <v>41484</v>
      </c>
      <c r="D756" s="13" t="s">
        <v>2003</v>
      </c>
      <c r="E756" s="13" t="s">
        <v>2362</v>
      </c>
      <c r="F756" s="491">
        <v>1075</v>
      </c>
      <c r="G756" t="s">
        <v>1210</v>
      </c>
      <c r="H756" s="68">
        <v>10</v>
      </c>
      <c r="K756" s="13"/>
      <c r="L756" s="13"/>
    </row>
    <row r="757" spans="3:12" ht="15" outlineLevel="1">
      <c r="C757" s="636"/>
      <c r="D757" s="13"/>
      <c r="E757" s="1954" t="s">
        <v>512</v>
      </c>
      <c r="F757" s="491"/>
      <c r="H757" s="2019">
        <f>SUBTOTAL(9,H753:H756)</f>
        <v>40</v>
      </c>
      <c r="K757" s="13"/>
      <c r="L757" s="13"/>
    </row>
    <row r="758" spans="3:12" outlineLevel="2">
      <c r="C758" s="636">
        <v>41484</v>
      </c>
      <c r="D758" s="13" t="s">
        <v>2652</v>
      </c>
      <c r="E758" s="13" t="s">
        <v>706</v>
      </c>
      <c r="F758" s="491">
        <v>1075</v>
      </c>
      <c r="G758" t="s">
        <v>1210</v>
      </c>
      <c r="H758" s="68">
        <v>10</v>
      </c>
      <c r="K758" s="13"/>
      <c r="L758" s="13"/>
    </row>
    <row r="759" spans="3:12" outlineLevel="2">
      <c r="C759" s="636">
        <v>41484</v>
      </c>
      <c r="D759" s="13" t="s">
        <v>562</v>
      </c>
      <c r="E759" s="13" t="s">
        <v>706</v>
      </c>
      <c r="F759" s="491">
        <v>1075</v>
      </c>
      <c r="G759" t="s">
        <v>1210</v>
      </c>
      <c r="H759" s="68">
        <v>10</v>
      </c>
      <c r="K759" s="13"/>
      <c r="L759" s="13"/>
    </row>
    <row r="760" spans="3:12" outlineLevel="2">
      <c r="C760" s="636">
        <v>41484</v>
      </c>
      <c r="D760" s="13" t="s">
        <v>4162</v>
      </c>
      <c r="E760" s="13" t="s">
        <v>706</v>
      </c>
      <c r="F760" s="491">
        <v>1075</v>
      </c>
      <c r="G760" t="s">
        <v>1210</v>
      </c>
      <c r="H760" s="68">
        <v>10</v>
      </c>
      <c r="K760" s="13"/>
      <c r="L760" s="13"/>
    </row>
    <row r="761" spans="3:12" outlineLevel="2">
      <c r="C761" s="636">
        <v>41484</v>
      </c>
      <c r="D761" s="13" t="s">
        <v>2005</v>
      </c>
      <c r="E761" s="13" t="s">
        <v>706</v>
      </c>
      <c r="F761" s="491">
        <v>1075</v>
      </c>
      <c r="G761" t="s">
        <v>1210</v>
      </c>
      <c r="H761" s="68">
        <v>10</v>
      </c>
      <c r="K761" s="13"/>
      <c r="L761" s="13"/>
    </row>
    <row r="762" spans="3:12" ht="15" outlineLevel="1">
      <c r="C762" s="636"/>
      <c r="D762" s="13"/>
      <c r="E762" s="1954" t="s">
        <v>513</v>
      </c>
      <c r="F762" s="491"/>
      <c r="H762" s="2019">
        <f>SUBTOTAL(9,H758:H761)</f>
        <v>40</v>
      </c>
      <c r="K762" s="13"/>
      <c r="L762" s="13"/>
    </row>
    <row r="763" spans="3:12" outlineLevel="2">
      <c r="C763" s="636">
        <v>41484</v>
      </c>
      <c r="D763" s="13" t="s">
        <v>2687</v>
      </c>
      <c r="E763" s="13" t="s">
        <v>4069</v>
      </c>
      <c r="F763" s="491">
        <v>1075</v>
      </c>
      <c r="G763" t="s">
        <v>1210</v>
      </c>
      <c r="H763" s="68">
        <v>10</v>
      </c>
      <c r="K763" s="13"/>
      <c r="L763" s="13"/>
    </row>
    <row r="764" spans="3:12" outlineLevel="2">
      <c r="C764" s="636">
        <v>41484</v>
      </c>
      <c r="D764" s="13" t="s">
        <v>4253</v>
      </c>
      <c r="E764" s="13" t="s">
        <v>4069</v>
      </c>
      <c r="F764" s="491">
        <v>1075</v>
      </c>
      <c r="G764" t="s">
        <v>1210</v>
      </c>
      <c r="H764" s="68">
        <v>10</v>
      </c>
      <c r="K764" s="13"/>
      <c r="L764" s="13"/>
    </row>
    <row r="765" spans="3:12" outlineLevel="2">
      <c r="C765" s="636">
        <v>41484</v>
      </c>
      <c r="D765" s="13" t="s">
        <v>1124</v>
      </c>
      <c r="E765" s="13" t="s">
        <v>4069</v>
      </c>
      <c r="F765" s="491">
        <v>1075</v>
      </c>
      <c r="G765" t="s">
        <v>1210</v>
      </c>
      <c r="H765" s="68">
        <v>10</v>
      </c>
      <c r="K765" s="13"/>
      <c r="L765" s="13"/>
    </row>
    <row r="766" spans="3:12" outlineLevel="2">
      <c r="C766" s="636">
        <v>41484</v>
      </c>
      <c r="D766" s="13" t="s">
        <v>2004</v>
      </c>
      <c r="E766" s="13" t="s">
        <v>4069</v>
      </c>
      <c r="F766" s="491">
        <v>1075</v>
      </c>
      <c r="G766" t="s">
        <v>1210</v>
      </c>
      <c r="H766" s="68">
        <v>10</v>
      </c>
      <c r="K766" s="13"/>
      <c r="L766" s="13"/>
    </row>
    <row r="767" spans="3:12" ht="15" outlineLevel="1">
      <c r="C767" s="636"/>
      <c r="D767" s="13"/>
      <c r="E767" s="1954" t="s">
        <v>286</v>
      </c>
      <c r="F767" s="491"/>
      <c r="H767" s="2019">
        <f>SUBTOTAL(9,H763:H766)</f>
        <v>40</v>
      </c>
      <c r="K767" s="13"/>
      <c r="L767" s="13"/>
    </row>
    <row r="768" spans="3:12" outlineLevel="2">
      <c r="C768" s="636">
        <v>41484</v>
      </c>
      <c r="D768" s="13" t="s">
        <v>525</v>
      </c>
      <c r="E768" s="13" t="s">
        <v>713</v>
      </c>
      <c r="F768" s="491">
        <v>1075</v>
      </c>
      <c r="G768" t="s">
        <v>1210</v>
      </c>
      <c r="H768" s="68">
        <v>10</v>
      </c>
      <c r="K768" s="13"/>
      <c r="L768" s="13"/>
    </row>
    <row r="769" spans="3:12" outlineLevel="2">
      <c r="C769" s="636">
        <v>41484</v>
      </c>
      <c r="D769" s="13" t="s">
        <v>561</v>
      </c>
      <c r="E769" s="13" t="s">
        <v>713</v>
      </c>
      <c r="F769" s="491">
        <v>1075</v>
      </c>
      <c r="G769" t="s">
        <v>1210</v>
      </c>
      <c r="H769" s="68">
        <v>10</v>
      </c>
      <c r="K769" s="13"/>
      <c r="L769" s="13"/>
    </row>
    <row r="770" spans="3:12" outlineLevel="2">
      <c r="C770" s="636">
        <v>41484</v>
      </c>
      <c r="D770" s="13" t="s">
        <v>4077</v>
      </c>
      <c r="E770" s="13" t="s">
        <v>713</v>
      </c>
      <c r="F770" s="491">
        <v>1075</v>
      </c>
      <c r="G770" t="s">
        <v>1210</v>
      </c>
      <c r="H770" s="68">
        <v>10</v>
      </c>
      <c r="K770" s="13"/>
      <c r="L770" s="13"/>
    </row>
    <row r="771" spans="3:12" ht="15" outlineLevel="1">
      <c r="C771" s="636"/>
      <c r="D771" s="13"/>
      <c r="E771" s="1954" t="s">
        <v>3792</v>
      </c>
      <c r="F771" s="491"/>
      <c r="H771" s="2019">
        <f>SUBTOTAL(9,H768:H770)</f>
        <v>30</v>
      </c>
      <c r="K771" s="13"/>
      <c r="L771" s="13"/>
    </row>
    <row r="772" spans="3:12" outlineLevel="2">
      <c r="C772" s="636">
        <v>41484</v>
      </c>
      <c r="D772" s="13" t="s">
        <v>2366</v>
      </c>
      <c r="E772" s="13" t="s">
        <v>2365</v>
      </c>
      <c r="F772" s="491">
        <v>1075</v>
      </c>
      <c r="G772" t="s">
        <v>1210</v>
      </c>
      <c r="H772" s="68">
        <v>10</v>
      </c>
      <c r="K772" s="13"/>
      <c r="L772" s="13"/>
    </row>
    <row r="773" spans="3:12" outlineLevel="2">
      <c r="C773" s="636">
        <v>41484</v>
      </c>
      <c r="D773" s="13" t="s">
        <v>3679</v>
      </c>
      <c r="E773" s="13" t="s">
        <v>2365</v>
      </c>
      <c r="F773" s="491">
        <v>1075</v>
      </c>
      <c r="G773" t="s">
        <v>1210</v>
      </c>
      <c r="H773" s="68">
        <v>10</v>
      </c>
      <c r="K773" s="13"/>
      <c r="L773" s="13"/>
    </row>
    <row r="774" spans="3:12" outlineLevel="2">
      <c r="C774" s="636">
        <v>41484</v>
      </c>
      <c r="D774" s="13" t="s">
        <v>1121</v>
      </c>
      <c r="E774" s="13" t="s">
        <v>2365</v>
      </c>
      <c r="F774" s="491">
        <v>1075</v>
      </c>
      <c r="G774" t="s">
        <v>1210</v>
      </c>
      <c r="H774" s="68">
        <v>10</v>
      </c>
      <c r="K774" s="13"/>
      <c r="L774" s="13"/>
    </row>
    <row r="775" spans="3:12" outlineLevel="2">
      <c r="C775" s="636">
        <v>41484</v>
      </c>
      <c r="D775" s="13" t="s">
        <v>4078</v>
      </c>
      <c r="E775" s="13" t="s">
        <v>2365</v>
      </c>
      <c r="F775" s="491">
        <v>1075</v>
      </c>
      <c r="G775" t="s">
        <v>1210</v>
      </c>
      <c r="H775" s="68">
        <v>10</v>
      </c>
      <c r="K775" s="13"/>
      <c r="L775" s="13"/>
    </row>
    <row r="776" spans="3:12" ht="15" outlineLevel="1">
      <c r="C776" s="636"/>
      <c r="D776" s="13"/>
      <c r="E776" s="1954" t="s">
        <v>3793</v>
      </c>
      <c r="F776" s="491"/>
      <c r="H776" s="2019">
        <f>SUBTOTAL(9,H772:H775)</f>
        <v>40</v>
      </c>
      <c r="K776" s="13"/>
      <c r="L776" s="13"/>
    </row>
    <row r="777" spans="3:12" outlineLevel="2">
      <c r="C777" s="636">
        <v>41484</v>
      </c>
      <c r="D777" s="13" t="s">
        <v>4227</v>
      </c>
      <c r="E777" s="13" t="s">
        <v>3817</v>
      </c>
      <c r="F777" s="491">
        <v>1075</v>
      </c>
      <c r="G777" t="s">
        <v>1210</v>
      </c>
      <c r="H777" s="68">
        <v>10</v>
      </c>
      <c r="K777" s="13"/>
      <c r="L777" s="13"/>
    </row>
    <row r="778" spans="3:12" outlineLevel="2">
      <c r="C778" s="636">
        <v>41484</v>
      </c>
      <c r="D778" s="13" t="s">
        <v>3222</v>
      </c>
      <c r="E778" s="13" t="s">
        <v>3817</v>
      </c>
      <c r="F778" s="491">
        <v>1075</v>
      </c>
      <c r="G778" t="s">
        <v>1210</v>
      </c>
      <c r="H778" s="68">
        <v>10</v>
      </c>
      <c r="K778" s="13"/>
      <c r="L778" s="13"/>
    </row>
    <row r="779" spans="3:12" outlineLevel="2">
      <c r="C779" s="636">
        <v>41484</v>
      </c>
      <c r="D779" s="13" t="s">
        <v>4163</v>
      </c>
      <c r="E779" s="13" t="s">
        <v>3817</v>
      </c>
      <c r="F779" s="491">
        <v>1075</v>
      </c>
      <c r="G779" t="s">
        <v>1210</v>
      </c>
      <c r="H779" s="68">
        <v>10</v>
      </c>
      <c r="K779" s="13"/>
      <c r="L779" s="13"/>
    </row>
    <row r="780" spans="3:12" outlineLevel="2">
      <c r="C780" s="636">
        <v>41484</v>
      </c>
      <c r="D780" s="13" t="s">
        <v>4582</v>
      </c>
      <c r="E780" s="13" t="s">
        <v>3817</v>
      </c>
      <c r="F780" s="491">
        <v>1075</v>
      </c>
      <c r="G780" t="s">
        <v>1210</v>
      </c>
      <c r="H780" s="68">
        <v>10</v>
      </c>
      <c r="K780" s="13"/>
      <c r="L780" s="13"/>
    </row>
    <row r="781" spans="3:12" ht="15" outlineLevel="1">
      <c r="C781" s="636"/>
      <c r="D781" s="13"/>
      <c r="E781" s="1954" t="s">
        <v>2433</v>
      </c>
      <c r="F781" s="491"/>
      <c r="H781" s="2019">
        <f>SUBTOTAL(9,H777:H780)</f>
        <v>40</v>
      </c>
      <c r="K781" s="13"/>
      <c r="L781" s="13"/>
    </row>
    <row r="782" spans="3:12">
      <c r="C782" s="636"/>
      <c r="D782" s="13"/>
      <c r="E782" s="2" t="s">
        <v>3261</v>
      </c>
      <c r="F782" s="491"/>
      <c r="H782" s="68">
        <f>SUBTOTAL(9,H730:H780)</f>
        <v>410</v>
      </c>
      <c r="K782" s="13"/>
      <c r="L782" s="13"/>
    </row>
    <row r="783" spans="3:12">
      <c r="K783" s="13"/>
      <c r="L783" s="13"/>
    </row>
    <row r="784" spans="3:12" ht="13.5" thickBot="1">
      <c r="E784" s="69">
        <v>41677</v>
      </c>
      <c r="K784" s="13"/>
      <c r="L784" s="13"/>
    </row>
    <row r="785" spans="3:9" ht="13.5" thickBot="1">
      <c r="C785" s="1811" t="s">
        <v>91</v>
      </c>
      <c r="D785" s="1812" t="s">
        <v>485</v>
      </c>
      <c r="E785" s="211"/>
      <c r="F785" s="1810" t="s">
        <v>4617</v>
      </c>
    </row>
    <row r="786" spans="3:9" ht="15">
      <c r="C786" s="1809" t="s">
        <v>862</v>
      </c>
      <c r="D786" s="573" t="s">
        <v>3759</v>
      </c>
      <c r="E786" s="144"/>
      <c r="F786" s="1808">
        <v>24</v>
      </c>
    </row>
    <row r="787" spans="3:9" ht="15">
      <c r="C787" s="1806" t="s">
        <v>2308</v>
      </c>
      <c r="D787" s="537" t="s">
        <v>2155</v>
      </c>
      <c r="E787" s="83"/>
      <c r="F787" s="1805">
        <v>6</v>
      </c>
    </row>
    <row r="788" spans="3:9" ht="15">
      <c r="C788" s="1806" t="s">
        <v>2309</v>
      </c>
      <c r="D788" s="537" t="s">
        <v>2155</v>
      </c>
      <c r="E788" s="83"/>
      <c r="F788" s="1805">
        <v>6</v>
      </c>
    </row>
    <row r="789" spans="3:9" ht="15">
      <c r="C789" s="1806" t="s">
        <v>2050</v>
      </c>
      <c r="D789" s="537" t="s">
        <v>2155</v>
      </c>
      <c r="E789" s="83"/>
      <c r="F789" s="1805">
        <v>2</v>
      </c>
    </row>
    <row r="790" spans="3:9" ht="15">
      <c r="C790" s="1806" t="s">
        <v>2017</v>
      </c>
      <c r="D790" s="537" t="s">
        <v>2155</v>
      </c>
      <c r="E790" s="83"/>
      <c r="F790" s="1805">
        <v>2</v>
      </c>
    </row>
    <row r="791" spans="3:9" ht="15">
      <c r="C791" s="1806" t="s">
        <v>2345</v>
      </c>
      <c r="D791" s="537" t="s">
        <v>3760</v>
      </c>
      <c r="E791" s="83"/>
      <c r="F791" s="1805"/>
    </row>
    <row r="792" spans="3:9" ht="15">
      <c r="C792" s="1806" t="s">
        <v>2781</v>
      </c>
      <c r="D792" s="537" t="s">
        <v>2155</v>
      </c>
      <c r="E792" s="83"/>
      <c r="F792" s="1805"/>
    </row>
    <row r="793" spans="3:9" ht="15">
      <c r="C793" s="1806" t="s">
        <v>2346</v>
      </c>
      <c r="D793" s="537" t="s">
        <v>2154</v>
      </c>
      <c r="E793" s="83"/>
      <c r="F793" s="1805"/>
    </row>
    <row r="796" spans="3:9" ht="13.5">
      <c r="C796" s="2208" t="s">
        <v>1075</v>
      </c>
      <c r="D796" s="1840"/>
      <c r="E796" s="1841"/>
      <c r="F796" s="1842"/>
      <c r="G796" s="1841"/>
      <c r="H796" s="1843"/>
    </row>
    <row r="797" spans="3:9" ht="14.25" thickBot="1">
      <c r="C797" s="2209" t="s">
        <v>762</v>
      </c>
      <c r="D797" s="2210" t="s">
        <v>1984</v>
      </c>
      <c r="E797" s="2209" t="s">
        <v>2067</v>
      </c>
      <c r="F797" s="2209" t="s">
        <v>1702</v>
      </c>
      <c r="G797" s="2211" t="s">
        <v>1459</v>
      </c>
      <c r="H797" s="2210" t="s">
        <v>3372</v>
      </c>
      <c r="I797" s="2225" t="s">
        <v>2066</v>
      </c>
    </row>
    <row r="798" spans="3:9" ht="14.25" outlineLevel="2" thickTop="1">
      <c r="C798" s="2212">
        <v>42033</v>
      </c>
      <c r="D798" s="2213" t="s">
        <v>2789</v>
      </c>
      <c r="E798" s="2213" t="s">
        <v>5023</v>
      </c>
      <c r="F798" s="2213">
        <v>1392</v>
      </c>
      <c r="G798" s="2214" t="s">
        <v>2788</v>
      </c>
      <c r="H798" s="2215">
        <v>14</v>
      </c>
    </row>
    <row r="799" spans="3:9" ht="13.5" outlineLevel="2">
      <c r="C799" s="2212">
        <v>42034</v>
      </c>
      <c r="D799" s="2213" t="s">
        <v>2790</v>
      </c>
      <c r="E799" s="2213" t="s">
        <v>5023</v>
      </c>
      <c r="F799" s="2213">
        <v>1392</v>
      </c>
      <c r="G799" s="2214" t="s">
        <v>2788</v>
      </c>
      <c r="H799" s="2215">
        <v>14</v>
      </c>
    </row>
    <row r="800" spans="3:9" ht="13.5" outlineLevel="2">
      <c r="C800" s="2212">
        <v>42034</v>
      </c>
      <c r="D800" s="2213" t="s">
        <v>3929</v>
      </c>
      <c r="E800" s="2213" t="s">
        <v>5023</v>
      </c>
      <c r="F800" s="2213">
        <v>1392</v>
      </c>
      <c r="G800" s="2214" t="s">
        <v>2788</v>
      </c>
      <c r="H800" s="2215">
        <v>14</v>
      </c>
    </row>
    <row r="801" spans="3:8" ht="13.5" outlineLevel="2">
      <c r="C801" s="2212">
        <v>42034</v>
      </c>
      <c r="D801" s="2213" t="s">
        <v>4460</v>
      </c>
      <c r="E801" s="2213" t="s">
        <v>5023</v>
      </c>
      <c r="F801" s="2213">
        <v>1392</v>
      </c>
      <c r="G801" s="2214" t="s">
        <v>2788</v>
      </c>
      <c r="H801" s="2215">
        <v>14</v>
      </c>
    </row>
    <row r="802" spans="3:8" ht="13.5" outlineLevel="2">
      <c r="C802" s="2212">
        <v>42035</v>
      </c>
      <c r="D802" s="2213" t="s">
        <v>4461</v>
      </c>
      <c r="E802" s="2213" t="s">
        <v>5023</v>
      </c>
      <c r="F802" s="2213">
        <v>1392</v>
      </c>
      <c r="G802" s="2214" t="s">
        <v>2788</v>
      </c>
      <c r="H802" s="2215">
        <v>14</v>
      </c>
    </row>
    <row r="803" spans="3:8" ht="13.5" outlineLevel="2">
      <c r="C803" s="2212">
        <v>42047</v>
      </c>
      <c r="D803" s="2213" t="s">
        <v>4911</v>
      </c>
      <c r="E803" s="2213" t="s">
        <v>5023</v>
      </c>
      <c r="F803" s="2213">
        <v>1399</v>
      </c>
      <c r="G803" s="2214" t="s">
        <v>4910</v>
      </c>
      <c r="H803" s="2215">
        <v>14</v>
      </c>
    </row>
    <row r="804" spans="3:8" ht="13.5" outlineLevel="2">
      <c r="C804" s="2212">
        <v>42047</v>
      </c>
      <c r="D804" s="2213" t="s">
        <v>4912</v>
      </c>
      <c r="E804" s="2213" t="s">
        <v>5023</v>
      </c>
      <c r="F804" s="2213">
        <v>1399</v>
      </c>
      <c r="G804" s="2214" t="s">
        <v>4910</v>
      </c>
      <c r="H804" s="2215">
        <v>14</v>
      </c>
    </row>
    <row r="805" spans="3:8" ht="13.5" outlineLevel="2">
      <c r="C805" s="2212">
        <v>42047</v>
      </c>
      <c r="D805" s="2213" t="s">
        <v>4913</v>
      </c>
      <c r="E805" s="2213" t="s">
        <v>5023</v>
      </c>
      <c r="F805" s="2213">
        <v>1399</v>
      </c>
      <c r="G805" s="2214" t="s">
        <v>4910</v>
      </c>
      <c r="H805" s="2215">
        <v>14</v>
      </c>
    </row>
    <row r="806" spans="3:8" ht="13.5" outlineLevel="2">
      <c r="C806" s="2212">
        <v>42048</v>
      </c>
      <c r="D806" s="2213" t="s">
        <v>2705</v>
      </c>
      <c r="E806" s="2213" t="s">
        <v>5023</v>
      </c>
      <c r="F806" s="2213">
        <v>1399</v>
      </c>
      <c r="G806" s="2214" t="s">
        <v>4910</v>
      </c>
      <c r="H806" s="2215">
        <v>14</v>
      </c>
    </row>
    <row r="807" spans="3:8" ht="13.5" outlineLevel="2">
      <c r="C807" s="2212">
        <v>42048</v>
      </c>
      <c r="D807" s="2213" t="s">
        <v>2706</v>
      </c>
      <c r="E807" s="2213" t="s">
        <v>5023</v>
      </c>
      <c r="F807" s="2213">
        <v>1399</v>
      </c>
      <c r="G807" s="2214" t="s">
        <v>4910</v>
      </c>
      <c r="H807" s="2215">
        <v>14</v>
      </c>
    </row>
    <row r="808" spans="3:8" ht="13.5" outlineLevel="2">
      <c r="C808" s="2212">
        <v>42048</v>
      </c>
      <c r="D808" s="2213" t="s">
        <v>2707</v>
      </c>
      <c r="E808" s="2213" t="s">
        <v>5023</v>
      </c>
      <c r="F808" s="2213">
        <v>1399</v>
      </c>
      <c r="G808" s="2214" t="s">
        <v>4910</v>
      </c>
      <c r="H808" s="2215">
        <v>14</v>
      </c>
    </row>
    <row r="809" spans="3:8" ht="13.5" outlineLevel="2">
      <c r="C809" s="2212">
        <v>42047</v>
      </c>
      <c r="D809" s="2213" t="s">
        <v>4467</v>
      </c>
      <c r="E809" s="2213" t="s">
        <v>5023</v>
      </c>
      <c r="F809" s="2213">
        <v>1400</v>
      </c>
      <c r="G809" s="2214" t="s">
        <v>2788</v>
      </c>
      <c r="H809" s="2215">
        <v>14</v>
      </c>
    </row>
    <row r="810" spans="3:8" ht="13.5" outlineLevel="2">
      <c r="C810" s="2212">
        <v>42048</v>
      </c>
      <c r="D810" s="2213" t="s">
        <v>3641</v>
      </c>
      <c r="E810" s="2213" t="s">
        <v>5023</v>
      </c>
      <c r="F810" s="2213">
        <v>1400</v>
      </c>
      <c r="G810" s="2214" t="s">
        <v>2788</v>
      </c>
      <c r="H810" s="2215">
        <v>14</v>
      </c>
    </row>
    <row r="811" spans="3:8" ht="13.5" outlineLevel="2">
      <c r="C811" s="2212">
        <v>42048</v>
      </c>
      <c r="D811" s="2213" t="s">
        <v>3642</v>
      </c>
      <c r="E811" s="2213" t="s">
        <v>5023</v>
      </c>
      <c r="F811" s="2213">
        <v>1400</v>
      </c>
      <c r="G811" s="2214" t="s">
        <v>2788</v>
      </c>
      <c r="H811" s="2215">
        <v>14</v>
      </c>
    </row>
    <row r="812" spans="3:8" ht="13.5" outlineLevel="2">
      <c r="C812" s="2212">
        <v>42049</v>
      </c>
      <c r="D812" s="2213" t="s">
        <v>4909</v>
      </c>
      <c r="E812" s="2213" t="s">
        <v>5023</v>
      </c>
      <c r="F812" s="2213">
        <v>1400</v>
      </c>
      <c r="G812" s="2214" t="s">
        <v>2788</v>
      </c>
      <c r="H812" s="2215">
        <v>14</v>
      </c>
    </row>
    <row r="813" spans="3:8" ht="13.5" outlineLevel="1">
      <c r="C813" s="2212"/>
      <c r="D813" s="2213"/>
      <c r="E813" s="2216" t="s">
        <v>3280</v>
      </c>
      <c r="F813" s="2217" t="s">
        <v>3029</v>
      </c>
      <c r="G813" s="2214"/>
      <c r="H813" s="2219">
        <f>SUBTOTAL(9,H798:H812)</f>
        <v>210</v>
      </c>
    </row>
    <row r="814" spans="3:8" ht="13.5" outlineLevel="2">
      <c r="C814" s="2212">
        <v>42047</v>
      </c>
      <c r="D814" s="2213" t="s">
        <v>4914</v>
      </c>
      <c r="E814" s="2213" t="s">
        <v>1868</v>
      </c>
      <c r="F814" s="2213">
        <v>1399</v>
      </c>
      <c r="G814" s="2214" t="s">
        <v>4910</v>
      </c>
      <c r="H814" s="2215">
        <v>14</v>
      </c>
    </row>
    <row r="815" spans="3:8" ht="13.5" outlineLevel="2">
      <c r="C815" s="2212">
        <v>42047</v>
      </c>
      <c r="D815" s="2213" t="s">
        <v>4915</v>
      </c>
      <c r="E815" s="2213" t="s">
        <v>1868</v>
      </c>
      <c r="F815" s="2213">
        <v>1399</v>
      </c>
      <c r="G815" s="2214" t="s">
        <v>4910</v>
      </c>
      <c r="H815" s="2215">
        <v>14</v>
      </c>
    </row>
    <row r="816" spans="3:8" ht="13.5" outlineLevel="2">
      <c r="C816" s="2212">
        <v>42047</v>
      </c>
      <c r="D816" s="2213" t="s">
        <v>4916</v>
      </c>
      <c r="E816" s="2213" t="s">
        <v>1868</v>
      </c>
      <c r="F816" s="2213">
        <v>1399</v>
      </c>
      <c r="G816" s="2214" t="s">
        <v>4910</v>
      </c>
      <c r="H816" s="2215">
        <v>14</v>
      </c>
    </row>
    <row r="817" spans="3:10" ht="13.5" outlineLevel="2">
      <c r="C817" s="2212">
        <v>42048</v>
      </c>
      <c r="D817" s="2213" t="s">
        <v>3300</v>
      </c>
      <c r="E817" s="2213" t="s">
        <v>1868</v>
      </c>
      <c r="F817" s="2213">
        <v>1399</v>
      </c>
      <c r="G817" s="2214" t="s">
        <v>4910</v>
      </c>
      <c r="H817" s="2215">
        <v>14</v>
      </c>
    </row>
    <row r="818" spans="3:10" ht="13.5" outlineLevel="2">
      <c r="C818" s="2212">
        <v>42048</v>
      </c>
      <c r="D818" s="2213" t="s">
        <v>3301</v>
      </c>
      <c r="E818" s="2213" t="s">
        <v>1868</v>
      </c>
      <c r="F818" s="2213">
        <v>1399</v>
      </c>
      <c r="G818" s="2214" t="s">
        <v>4910</v>
      </c>
      <c r="H818" s="2215">
        <v>14</v>
      </c>
    </row>
    <row r="819" spans="3:10" ht="13.5" outlineLevel="2">
      <c r="C819" s="2212">
        <v>42047</v>
      </c>
      <c r="D819" s="2213" t="s">
        <v>4468</v>
      </c>
      <c r="E819" s="2213" t="s">
        <v>1868</v>
      </c>
      <c r="F819" s="2213">
        <v>1400</v>
      </c>
      <c r="G819" s="2214" t="s">
        <v>2788</v>
      </c>
      <c r="H819" s="2215">
        <v>14</v>
      </c>
    </row>
    <row r="820" spans="3:10" ht="13.5" outlineLevel="2">
      <c r="C820" s="2212">
        <v>42048</v>
      </c>
      <c r="D820" s="2213" t="s">
        <v>1643</v>
      </c>
      <c r="E820" s="2213" t="s">
        <v>1868</v>
      </c>
      <c r="F820" s="2213">
        <v>1400</v>
      </c>
      <c r="G820" s="2214" t="s">
        <v>2788</v>
      </c>
      <c r="H820" s="2215">
        <v>14</v>
      </c>
    </row>
    <row r="821" spans="3:10" ht="13.5" outlineLevel="2">
      <c r="C821" s="2212">
        <v>42048</v>
      </c>
      <c r="D821" s="2213" t="s">
        <v>1644</v>
      </c>
      <c r="E821" s="2213" t="s">
        <v>1868</v>
      </c>
      <c r="F821" s="2213">
        <v>1400</v>
      </c>
      <c r="G821" s="2214" t="s">
        <v>2788</v>
      </c>
      <c r="H821" s="2215">
        <v>14</v>
      </c>
    </row>
    <row r="822" spans="3:10" ht="13.5" outlineLevel="2">
      <c r="C822" s="2212">
        <v>42048</v>
      </c>
      <c r="D822" s="2213" t="s">
        <v>4465</v>
      </c>
      <c r="E822" s="2213" t="s">
        <v>1868</v>
      </c>
      <c r="F822" s="2213">
        <v>1401</v>
      </c>
      <c r="G822" s="2214" t="s">
        <v>4462</v>
      </c>
      <c r="H822" s="2215">
        <v>14</v>
      </c>
    </row>
    <row r="823" spans="3:10" ht="13.5" outlineLevel="2">
      <c r="C823" s="2212">
        <v>42048</v>
      </c>
      <c r="D823" s="2213" t="s">
        <v>4466</v>
      </c>
      <c r="E823" s="2213" t="s">
        <v>1868</v>
      </c>
      <c r="F823" s="2213">
        <v>1401</v>
      </c>
      <c r="G823" s="2214" t="s">
        <v>4462</v>
      </c>
      <c r="H823" s="2215">
        <v>14</v>
      </c>
    </row>
    <row r="824" spans="3:10" ht="13.5" outlineLevel="1">
      <c r="C824" s="2212"/>
      <c r="D824" s="2213"/>
      <c r="E824" s="2218" t="s">
        <v>310</v>
      </c>
      <c r="F824" s="2217" t="s">
        <v>947</v>
      </c>
      <c r="G824" s="2214"/>
      <c r="H824" s="2219">
        <f>SUBTOTAL(9,H814:H823)</f>
        <v>140</v>
      </c>
    </row>
    <row r="825" spans="3:10" ht="13.5" outlineLevel="2">
      <c r="C825" s="2212">
        <v>42048</v>
      </c>
      <c r="D825" s="2213" t="s">
        <v>4463</v>
      </c>
      <c r="E825" s="2213" t="s">
        <v>4464</v>
      </c>
      <c r="F825" s="2213">
        <v>1401</v>
      </c>
      <c r="G825" s="2214" t="s">
        <v>4462</v>
      </c>
      <c r="H825" s="2215">
        <v>14</v>
      </c>
    </row>
    <row r="826" spans="3:10" ht="13.5" outlineLevel="1">
      <c r="C826" s="2212"/>
      <c r="D826" s="2213"/>
      <c r="E826" s="2218" t="s">
        <v>2708</v>
      </c>
      <c r="F826" s="2217" t="s">
        <v>3640</v>
      </c>
      <c r="G826" s="2214"/>
      <c r="H826" s="2219">
        <f>SUBTOTAL(9,H825:H825)</f>
        <v>14</v>
      </c>
    </row>
    <row r="827" spans="3:10" ht="13.5">
      <c r="C827" s="2212"/>
      <c r="D827" s="2213"/>
      <c r="E827" s="2218" t="s">
        <v>3261</v>
      </c>
      <c r="F827" s="2213"/>
      <c r="G827" s="2214"/>
      <c r="H827" s="2220">
        <f>SUBTOTAL(9,H798:H825)</f>
        <v>364</v>
      </c>
    </row>
    <row r="830" spans="3:10" ht="13.5">
      <c r="C830" s="2208" t="s">
        <v>1075</v>
      </c>
      <c r="D830" s="1840"/>
      <c r="E830" s="1841"/>
      <c r="F830" s="1842"/>
      <c r="G830" s="1841"/>
      <c r="H830" s="1843"/>
    </row>
    <row r="831" spans="3:10" ht="14.25" thickBot="1">
      <c r="C831" s="2209" t="s">
        <v>762</v>
      </c>
      <c r="D831" s="2210" t="s">
        <v>1984</v>
      </c>
      <c r="E831" s="2209" t="s">
        <v>2067</v>
      </c>
      <c r="F831" s="2209" t="s">
        <v>1702</v>
      </c>
      <c r="G831" s="2211" t="s">
        <v>1459</v>
      </c>
      <c r="H831" s="2210" t="s">
        <v>3372</v>
      </c>
      <c r="I831" s="2225" t="s">
        <v>2066</v>
      </c>
    </row>
    <row r="832" spans="3:10" ht="14.25" outlineLevel="2" thickTop="1">
      <c r="C832" s="2226">
        <v>42060</v>
      </c>
      <c r="D832" s="2214" t="s">
        <v>1485</v>
      </c>
      <c r="E832" s="2214" t="s">
        <v>137</v>
      </c>
      <c r="F832" s="2227" t="s">
        <v>3112</v>
      </c>
      <c r="G832" s="2214" t="s">
        <v>96</v>
      </c>
      <c r="H832" s="2228">
        <v>14</v>
      </c>
      <c r="I832" s="2214" t="s">
        <v>5023</v>
      </c>
      <c r="J832" s="2214" t="s">
        <v>100</v>
      </c>
    </row>
    <row r="833" spans="3:10" ht="13.5" outlineLevel="2">
      <c r="C833" s="2226">
        <v>42060</v>
      </c>
      <c r="D833" s="2214" t="s">
        <v>2492</v>
      </c>
      <c r="E833" s="2214" t="s">
        <v>137</v>
      </c>
      <c r="F833" s="2227" t="s">
        <v>3112</v>
      </c>
      <c r="G833" s="2214" t="s">
        <v>1159</v>
      </c>
      <c r="H833" s="2228">
        <v>14</v>
      </c>
      <c r="I833" s="2214" t="s">
        <v>4269</v>
      </c>
      <c r="J833" s="2214" t="s">
        <v>101</v>
      </c>
    </row>
    <row r="834" spans="3:10" ht="13.5" outlineLevel="2">
      <c r="C834" s="2226">
        <v>42060</v>
      </c>
      <c r="D834" s="2214" t="s">
        <v>269</v>
      </c>
      <c r="E834" s="2214" t="s">
        <v>137</v>
      </c>
      <c r="F834" s="2227" t="s">
        <v>3112</v>
      </c>
      <c r="G834" s="2214" t="s">
        <v>1159</v>
      </c>
      <c r="H834" s="2228">
        <v>14</v>
      </c>
      <c r="I834" s="2214" t="s">
        <v>4269</v>
      </c>
      <c r="J834" s="2214" t="s">
        <v>101</v>
      </c>
    </row>
    <row r="835" spans="3:10" ht="13.5" outlineLevel="2">
      <c r="C835" s="2226">
        <v>42060</v>
      </c>
      <c r="D835" s="2214" t="s">
        <v>3104</v>
      </c>
      <c r="E835" s="2214" t="s">
        <v>137</v>
      </c>
      <c r="F835" s="2227" t="s">
        <v>3112</v>
      </c>
      <c r="G835" s="2214" t="s">
        <v>1159</v>
      </c>
      <c r="H835" s="2228">
        <v>14</v>
      </c>
      <c r="I835" s="2214" t="s">
        <v>5023</v>
      </c>
      <c r="J835" s="2214" t="s">
        <v>100</v>
      </c>
    </row>
    <row r="836" spans="3:10" ht="13.5" outlineLevel="2">
      <c r="C836" s="2226">
        <v>42060</v>
      </c>
      <c r="D836" s="2214" t="s">
        <v>3105</v>
      </c>
      <c r="E836" s="2214" t="s">
        <v>137</v>
      </c>
      <c r="F836" s="2227" t="s">
        <v>3112</v>
      </c>
      <c r="G836" s="2214" t="s">
        <v>1159</v>
      </c>
      <c r="H836" s="2228">
        <v>14</v>
      </c>
      <c r="I836" s="2214" t="s">
        <v>4269</v>
      </c>
      <c r="J836" s="2214" t="s">
        <v>101</v>
      </c>
    </row>
    <row r="837" spans="3:10" ht="13.5" outlineLevel="2">
      <c r="C837" s="2226">
        <v>42060</v>
      </c>
      <c r="D837" s="2214" t="s">
        <v>3106</v>
      </c>
      <c r="E837" s="2214" t="s">
        <v>137</v>
      </c>
      <c r="F837" s="2227" t="s">
        <v>3112</v>
      </c>
      <c r="G837" s="2214" t="s">
        <v>1159</v>
      </c>
      <c r="H837" s="2228">
        <v>14</v>
      </c>
      <c r="I837" s="2214" t="s">
        <v>4269</v>
      </c>
      <c r="J837" s="2214" t="s">
        <v>101</v>
      </c>
    </row>
    <row r="838" spans="3:10" ht="13.5" outlineLevel="2">
      <c r="C838" s="2226">
        <v>42061</v>
      </c>
      <c r="D838" s="2214" t="s">
        <v>3108</v>
      </c>
      <c r="E838" s="2214" t="s">
        <v>137</v>
      </c>
      <c r="F838" s="2227" t="s">
        <v>3114</v>
      </c>
      <c r="G838" s="2214" t="s">
        <v>98</v>
      </c>
      <c r="H838" s="2228">
        <v>14</v>
      </c>
      <c r="I838" s="2214"/>
    </row>
    <row r="839" spans="3:10" ht="13.5" outlineLevel="2">
      <c r="C839" s="2226">
        <v>42061</v>
      </c>
      <c r="D839" s="2214" t="s">
        <v>3109</v>
      </c>
      <c r="E839" s="2214" t="s">
        <v>137</v>
      </c>
      <c r="F839" s="2227" t="s">
        <v>3114</v>
      </c>
      <c r="G839" s="2214" t="s">
        <v>98</v>
      </c>
      <c r="H839" s="2228">
        <v>14</v>
      </c>
      <c r="I839" s="2214"/>
    </row>
    <row r="840" spans="3:10" ht="13.5" outlineLevel="2">
      <c r="C840" s="2226">
        <v>42061</v>
      </c>
      <c r="D840" s="2214" t="s">
        <v>3107</v>
      </c>
      <c r="E840" s="2214" t="s">
        <v>137</v>
      </c>
      <c r="F840" s="2227" t="s">
        <v>3113</v>
      </c>
      <c r="G840" s="2214" t="s">
        <v>97</v>
      </c>
      <c r="H840" s="2228">
        <v>14</v>
      </c>
      <c r="I840" s="2214"/>
    </row>
    <row r="841" spans="3:10" ht="13.5" outlineLevel="2">
      <c r="C841" s="2226">
        <v>42062</v>
      </c>
      <c r="D841" s="2214" t="s">
        <v>3110</v>
      </c>
      <c r="E841" s="2214" t="s">
        <v>137</v>
      </c>
      <c r="F841" s="2227" t="s">
        <v>3113</v>
      </c>
      <c r="G841" s="2214" t="s">
        <v>97</v>
      </c>
      <c r="H841" s="2228">
        <v>14</v>
      </c>
      <c r="I841" s="2214"/>
    </row>
    <row r="842" spans="3:10" ht="13.5" outlineLevel="2">
      <c r="C842" s="2226">
        <v>42062</v>
      </c>
      <c r="D842" s="2214" t="s">
        <v>3111</v>
      </c>
      <c r="E842" s="2214" t="s">
        <v>137</v>
      </c>
      <c r="F842" s="2227" t="s">
        <v>3113</v>
      </c>
      <c r="G842" s="2214" t="s">
        <v>97</v>
      </c>
      <c r="H842" s="2228">
        <v>14</v>
      </c>
      <c r="I842" s="2214"/>
    </row>
    <row r="843" spans="3:10" ht="13.5" outlineLevel="1">
      <c r="C843" s="2226"/>
      <c r="D843" s="2214"/>
      <c r="E843" s="2229" t="s">
        <v>99</v>
      </c>
      <c r="F843" s="2227"/>
      <c r="G843" s="2214"/>
      <c r="H843" s="2230">
        <f>SUBTOTAL(9,H832:H842)</f>
        <v>154</v>
      </c>
      <c r="I843" s="2214"/>
    </row>
    <row r="844" spans="3:10" ht="13.5">
      <c r="C844" s="2226"/>
      <c r="D844" s="2214"/>
      <c r="E844" s="2229" t="s">
        <v>3261</v>
      </c>
      <c r="F844" s="2227"/>
      <c r="G844" s="2214"/>
      <c r="H844" s="2228">
        <f>SUBTOTAL(9,H832:H842)</f>
        <v>154</v>
      </c>
      <c r="I844" s="2214"/>
    </row>
    <row r="845" spans="3:10">
      <c r="F845" s="74"/>
    </row>
    <row r="846" spans="3:10" ht="13.5">
      <c r="D846" s="2214" t="s">
        <v>100</v>
      </c>
      <c r="E846" s="2228">
        <f>14*2</f>
        <v>28</v>
      </c>
    </row>
    <row r="847" spans="3:10" ht="13.5">
      <c r="D847" s="2214" t="s">
        <v>101</v>
      </c>
      <c r="E847" s="2228">
        <f>14*4</f>
        <v>56</v>
      </c>
    </row>
    <row r="850" spans="3:9" ht="13.5">
      <c r="C850" s="2208" t="s">
        <v>3913</v>
      </c>
      <c r="D850" s="1840"/>
      <c r="E850" s="1841"/>
      <c r="F850" s="1842"/>
      <c r="G850" s="1841"/>
      <c r="H850" s="1843"/>
    </row>
    <row r="851" spans="3:9" ht="14.25" thickBot="1">
      <c r="C851" s="2209" t="s">
        <v>762</v>
      </c>
      <c r="D851" s="2210" t="s">
        <v>1984</v>
      </c>
      <c r="E851" s="2209" t="s">
        <v>2067</v>
      </c>
      <c r="F851" s="2209" t="s">
        <v>1702</v>
      </c>
      <c r="G851" s="2211" t="s">
        <v>1459</v>
      </c>
      <c r="H851" s="2210" t="s">
        <v>3372</v>
      </c>
      <c r="I851" s="2225" t="s">
        <v>2066</v>
      </c>
    </row>
    <row r="852" spans="3:9" ht="13.5" outlineLevel="2" thickTop="1">
      <c r="C852" s="2238">
        <v>42078</v>
      </c>
      <c r="D852" s="13" t="s">
        <v>2119</v>
      </c>
      <c r="E852" s="13" t="s">
        <v>4269</v>
      </c>
      <c r="F852" s="491">
        <v>1414</v>
      </c>
      <c r="G852" s="13" t="s">
        <v>20</v>
      </c>
      <c r="H852" s="2239">
        <v>14</v>
      </c>
    </row>
    <row r="853" spans="3:9" outlineLevel="2">
      <c r="C853" s="2238">
        <v>42078</v>
      </c>
      <c r="D853" s="13" t="s">
        <v>2146</v>
      </c>
      <c r="E853" s="13" t="s">
        <v>4269</v>
      </c>
      <c r="F853" s="491">
        <v>1414</v>
      </c>
      <c r="G853" s="13" t="s">
        <v>20</v>
      </c>
      <c r="H853" s="2239">
        <v>14</v>
      </c>
    </row>
    <row r="854" spans="3:9" outlineLevel="2">
      <c r="C854" s="2238">
        <v>42078</v>
      </c>
      <c r="D854" s="13" t="s">
        <v>2147</v>
      </c>
      <c r="E854" s="13" t="s">
        <v>4269</v>
      </c>
      <c r="F854" s="491">
        <v>1414</v>
      </c>
      <c r="G854" s="13" t="s">
        <v>20</v>
      </c>
      <c r="H854" s="2239">
        <v>14</v>
      </c>
    </row>
    <row r="855" spans="3:9" outlineLevel="2">
      <c r="C855" s="2238">
        <v>42078</v>
      </c>
      <c r="D855" s="13" t="s">
        <v>2148</v>
      </c>
      <c r="E855" s="13" t="s">
        <v>4269</v>
      </c>
      <c r="F855" s="491">
        <v>1414</v>
      </c>
      <c r="G855" s="13" t="s">
        <v>20</v>
      </c>
      <c r="H855" s="2239">
        <v>14</v>
      </c>
    </row>
    <row r="856" spans="3:9" outlineLevel="1">
      <c r="C856" s="2238"/>
      <c r="D856" s="13"/>
      <c r="E856" s="2240" t="s">
        <v>2400</v>
      </c>
      <c r="F856" s="2241" t="s">
        <v>1975</v>
      </c>
      <c r="G856" s="2242"/>
      <c r="H856" s="2243">
        <f>SUBTOTAL(9,H852:H855)</f>
        <v>56</v>
      </c>
    </row>
    <row r="857" spans="3:9" outlineLevel="2">
      <c r="C857" s="2238">
        <v>42078</v>
      </c>
      <c r="D857" s="2244" t="s">
        <v>4333</v>
      </c>
      <c r="E857" s="2244" t="s">
        <v>4069</v>
      </c>
      <c r="F857" s="2245">
        <v>1414</v>
      </c>
      <c r="G857" s="2244" t="s">
        <v>20</v>
      </c>
      <c r="H857" s="2246">
        <v>14</v>
      </c>
    </row>
    <row r="858" spans="3:9" outlineLevel="2">
      <c r="C858" s="2238">
        <v>42078</v>
      </c>
      <c r="D858" s="2244" t="s">
        <v>4334</v>
      </c>
      <c r="E858" s="2244" t="s">
        <v>4069</v>
      </c>
      <c r="F858" s="2245">
        <v>1414</v>
      </c>
      <c r="G858" s="2244" t="s">
        <v>20</v>
      </c>
      <c r="H858" s="2246">
        <v>14</v>
      </c>
    </row>
    <row r="859" spans="3:9" outlineLevel="2">
      <c r="C859" s="2238">
        <v>42078</v>
      </c>
      <c r="D859" s="2244" t="s">
        <v>1413</v>
      </c>
      <c r="E859" s="2244" t="s">
        <v>4069</v>
      </c>
      <c r="F859" s="2245">
        <v>1414</v>
      </c>
      <c r="G859" s="2244" t="s">
        <v>20</v>
      </c>
      <c r="H859" s="2246">
        <v>14</v>
      </c>
    </row>
    <row r="860" spans="3:9" outlineLevel="2">
      <c r="C860" s="2238">
        <v>42078</v>
      </c>
      <c r="D860" s="2244" t="s">
        <v>1414</v>
      </c>
      <c r="E860" s="2244" t="s">
        <v>4069</v>
      </c>
      <c r="F860" s="2245">
        <v>1414</v>
      </c>
      <c r="G860" s="2244" t="s">
        <v>20</v>
      </c>
      <c r="H860" s="2246">
        <v>14</v>
      </c>
    </row>
    <row r="861" spans="3:9" outlineLevel="2">
      <c r="C861" s="2238">
        <v>42078</v>
      </c>
      <c r="D861" s="2244" t="s">
        <v>2168</v>
      </c>
      <c r="E861" s="2244" t="s">
        <v>4069</v>
      </c>
      <c r="F861" s="2245">
        <v>1414</v>
      </c>
      <c r="G861" s="2244" t="s">
        <v>20</v>
      </c>
      <c r="H861" s="2246">
        <v>14</v>
      </c>
    </row>
    <row r="862" spans="3:9" outlineLevel="1">
      <c r="C862" s="2238"/>
      <c r="D862" s="2244"/>
      <c r="E862" s="2" t="s">
        <v>2258</v>
      </c>
      <c r="F862" s="2247" t="s">
        <v>1713</v>
      </c>
      <c r="G862" s="2"/>
      <c r="H862" s="1698">
        <f>SUBTOTAL(9,H857:H861)</f>
        <v>70</v>
      </c>
    </row>
    <row r="863" spans="3:9" outlineLevel="2">
      <c r="C863" s="2238">
        <v>42078</v>
      </c>
      <c r="D863" s="13" t="s">
        <v>21</v>
      </c>
      <c r="E863" s="13" t="s">
        <v>5023</v>
      </c>
      <c r="F863" s="491">
        <v>1414</v>
      </c>
      <c r="G863" s="13" t="s">
        <v>20</v>
      </c>
      <c r="H863" s="2239">
        <v>14</v>
      </c>
    </row>
    <row r="864" spans="3:9" outlineLevel="2">
      <c r="C864" s="2238">
        <v>42078</v>
      </c>
      <c r="D864" s="13" t="s">
        <v>1062</v>
      </c>
      <c r="E864" s="13" t="s">
        <v>5023</v>
      </c>
      <c r="F864" s="491">
        <v>1414</v>
      </c>
      <c r="G864" s="13" t="s">
        <v>20</v>
      </c>
      <c r="H864" s="2239">
        <v>14</v>
      </c>
    </row>
    <row r="865" spans="3:8" outlineLevel="2">
      <c r="C865" s="2238">
        <v>42078</v>
      </c>
      <c r="D865" s="13" t="s">
        <v>1063</v>
      </c>
      <c r="E865" s="13" t="s">
        <v>5023</v>
      </c>
      <c r="F865" s="491">
        <v>1414</v>
      </c>
      <c r="G865" s="13" t="s">
        <v>20</v>
      </c>
      <c r="H865" s="2239">
        <v>14</v>
      </c>
    </row>
    <row r="866" spans="3:8" outlineLevel="2">
      <c r="C866" s="2238">
        <v>42078</v>
      </c>
      <c r="D866" s="13" t="s">
        <v>2139</v>
      </c>
      <c r="E866" s="13" t="s">
        <v>5023</v>
      </c>
      <c r="F866" s="491">
        <v>1414</v>
      </c>
      <c r="G866" s="13" t="s">
        <v>20</v>
      </c>
      <c r="H866" s="2239">
        <v>14</v>
      </c>
    </row>
    <row r="867" spans="3:8" outlineLevel="1">
      <c r="C867" s="2238"/>
      <c r="D867" s="13"/>
      <c r="E867" s="2242" t="s">
        <v>3280</v>
      </c>
      <c r="F867" s="2241" t="s">
        <v>3029</v>
      </c>
      <c r="G867" s="2242"/>
      <c r="H867" s="2243">
        <f>SUBTOTAL(9,H863:H866)</f>
        <v>56</v>
      </c>
    </row>
    <row r="868" spans="3:8" outlineLevel="2">
      <c r="C868" s="2238">
        <v>42078</v>
      </c>
      <c r="D868" s="2244" t="s">
        <v>2169</v>
      </c>
      <c r="E868" s="2244" t="s">
        <v>290</v>
      </c>
      <c r="F868" s="2245">
        <v>1414</v>
      </c>
      <c r="G868" s="2244" t="s">
        <v>20</v>
      </c>
      <c r="H868" s="2246">
        <v>14</v>
      </c>
    </row>
    <row r="869" spans="3:8" outlineLevel="2">
      <c r="C869" s="2238">
        <v>42078</v>
      </c>
      <c r="D869" s="2244" t="s">
        <v>2170</v>
      </c>
      <c r="E869" s="2244" t="s">
        <v>290</v>
      </c>
      <c r="F869" s="2245">
        <v>1414</v>
      </c>
      <c r="G869" s="2244" t="s">
        <v>20</v>
      </c>
      <c r="H869" s="2246">
        <v>14</v>
      </c>
    </row>
    <row r="870" spans="3:8" outlineLevel="2">
      <c r="C870" s="2238">
        <v>42078</v>
      </c>
      <c r="D870" s="2244" t="s">
        <v>2171</v>
      </c>
      <c r="E870" s="2244" t="s">
        <v>290</v>
      </c>
      <c r="F870" s="2245">
        <v>1414</v>
      </c>
      <c r="G870" s="2244" t="s">
        <v>20</v>
      </c>
      <c r="H870" s="2246">
        <v>14</v>
      </c>
    </row>
    <row r="871" spans="3:8" outlineLevel="2">
      <c r="C871" s="2238">
        <v>42078</v>
      </c>
      <c r="D871" s="2244" t="s">
        <v>4510</v>
      </c>
      <c r="E871" s="2244" t="s">
        <v>290</v>
      </c>
      <c r="F871" s="2245">
        <v>1414</v>
      </c>
      <c r="G871" s="2244" t="s">
        <v>20</v>
      </c>
      <c r="H871" s="2246">
        <v>14</v>
      </c>
    </row>
    <row r="872" spans="3:8" outlineLevel="1">
      <c r="C872" s="2238"/>
      <c r="D872" s="2244"/>
      <c r="E872" s="2" t="s">
        <v>1571</v>
      </c>
      <c r="F872" s="2247" t="s">
        <v>464</v>
      </c>
      <c r="G872" s="2"/>
      <c r="H872" s="1698">
        <f>SUBTOTAL(9,H868:H871)</f>
        <v>56</v>
      </c>
    </row>
    <row r="873" spans="3:8" outlineLevel="2">
      <c r="C873" s="2238">
        <v>42068</v>
      </c>
      <c r="D873" s="13" t="s">
        <v>3914</v>
      </c>
      <c r="E873" s="13" t="s">
        <v>1868</v>
      </c>
      <c r="F873" s="491">
        <v>1410</v>
      </c>
      <c r="G873" s="13" t="s">
        <v>20</v>
      </c>
      <c r="H873" s="2239">
        <v>14</v>
      </c>
    </row>
    <row r="874" spans="3:8" outlineLevel="2">
      <c r="C874" s="2238">
        <v>42068</v>
      </c>
      <c r="D874" s="13" t="s">
        <v>3915</v>
      </c>
      <c r="E874" s="13" t="s">
        <v>1868</v>
      </c>
      <c r="F874" s="491">
        <v>1410</v>
      </c>
      <c r="G874" s="13" t="s">
        <v>20</v>
      </c>
      <c r="H874" s="2239">
        <v>14</v>
      </c>
    </row>
    <row r="875" spans="3:8" outlineLevel="2">
      <c r="C875" s="2238">
        <v>42069</v>
      </c>
      <c r="D875" s="13" t="s">
        <v>3916</v>
      </c>
      <c r="E875" s="13" t="s">
        <v>1868</v>
      </c>
      <c r="F875" s="491">
        <v>1410</v>
      </c>
      <c r="G875" s="13" t="s">
        <v>20</v>
      </c>
      <c r="H875" s="2239">
        <v>14</v>
      </c>
    </row>
    <row r="876" spans="3:8" outlineLevel="2">
      <c r="C876" s="2238">
        <v>42069</v>
      </c>
      <c r="D876" s="13" t="s">
        <v>3917</v>
      </c>
      <c r="E876" s="13" t="s">
        <v>1868</v>
      </c>
      <c r="F876" s="491">
        <v>1410</v>
      </c>
      <c r="G876" s="13" t="s">
        <v>20</v>
      </c>
      <c r="H876" s="2239">
        <v>14</v>
      </c>
    </row>
    <row r="877" spans="3:8" outlineLevel="2">
      <c r="C877" s="2238">
        <v>42069</v>
      </c>
      <c r="D877" s="13" t="s">
        <v>3919</v>
      </c>
      <c r="E877" s="13" t="s">
        <v>1868</v>
      </c>
      <c r="F877" s="491">
        <v>1412</v>
      </c>
      <c r="G877" s="13" t="s">
        <v>3918</v>
      </c>
      <c r="H877" s="2239">
        <v>14</v>
      </c>
    </row>
    <row r="878" spans="3:8" outlineLevel="2">
      <c r="C878" s="2238">
        <v>42069</v>
      </c>
      <c r="D878" s="13" t="s">
        <v>3920</v>
      </c>
      <c r="E878" s="13" t="s">
        <v>1868</v>
      </c>
      <c r="F878" s="491">
        <v>1412</v>
      </c>
      <c r="G878" s="13" t="s">
        <v>3918</v>
      </c>
      <c r="H878" s="2239">
        <v>14</v>
      </c>
    </row>
    <row r="879" spans="3:8" outlineLevel="2">
      <c r="C879" s="2238">
        <v>42070</v>
      </c>
      <c r="D879" s="13" t="s">
        <v>3921</v>
      </c>
      <c r="E879" s="13" t="s">
        <v>1868</v>
      </c>
      <c r="F879" s="491">
        <v>1410</v>
      </c>
      <c r="G879" s="13" t="s">
        <v>20</v>
      </c>
      <c r="H879" s="2239">
        <v>14</v>
      </c>
    </row>
    <row r="880" spans="3:8" outlineLevel="2">
      <c r="C880" s="2238">
        <v>42070</v>
      </c>
      <c r="D880" s="13" t="s">
        <v>3924</v>
      </c>
      <c r="E880" s="13" t="s">
        <v>1868</v>
      </c>
      <c r="F880" s="491">
        <v>1410</v>
      </c>
      <c r="G880" s="13" t="s">
        <v>20</v>
      </c>
      <c r="H880" s="2239">
        <v>14</v>
      </c>
    </row>
    <row r="881" spans="3:8" outlineLevel="2">
      <c r="C881" s="2238">
        <v>42070</v>
      </c>
      <c r="D881" s="13" t="s">
        <v>3925</v>
      </c>
      <c r="E881" s="13" t="s">
        <v>1868</v>
      </c>
      <c r="F881" s="491">
        <v>1410</v>
      </c>
      <c r="G881" s="13" t="s">
        <v>20</v>
      </c>
      <c r="H881" s="2239">
        <v>14</v>
      </c>
    </row>
    <row r="882" spans="3:8" outlineLevel="2">
      <c r="C882" s="2238">
        <v>42070</v>
      </c>
      <c r="D882" s="13" t="s">
        <v>3926</v>
      </c>
      <c r="E882" s="13" t="s">
        <v>1868</v>
      </c>
      <c r="F882" s="491">
        <v>1410</v>
      </c>
      <c r="G882" s="13" t="s">
        <v>20</v>
      </c>
      <c r="H882" s="2239">
        <v>14</v>
      </c>
    </row>
    <row r="883" spans="3:8" outlineLevel="2">
      <c r="C883" s="2238">
        <v>42070</v>
      </c>
      <c r="D883" s="13" t="s">
        <v>3927</v>
      </c>
      <c r="E883" s="13" t="s">
        <v>1868</v>
      </c>
      <c r="F883" s="491">
        <v>1410</v>
      </c>
      <c r="G883" s="13" t="s">
        <v>20</v>
      </c>
      <c r="H883" s="2239">
        <v>14</v>
      </c>
    </row>
    <row r="884" spans="3:8" outlineLevel="2">
      <c r="C884" s="2238">
        <v>42070</v>
      </c>
      <c r="D884" s="13" t="s">
        <v>3928</v>
      </c>
      <c r="E884" s="13" t="s">
        <v>1868</v>
      </c>
      <c r="F884" s="491">
        <v>1410</v>
      </c>
      <c r="G884" s="13" t="s">
        <v>20</v>
      </c>
      <c r="H884" s="2239">
        <v>14</v>
      </c>
    </row>
    <row r="885" spans="3:8" outlineLevel="2">
      <c r="C885" s="2238">
        <v>42070</v>
      </c>
      <c r="D885" s="13" t="s">
        <v>3922</v>
      </c>
      <c r="E885" s="13" t="s">
        <v>1868</v>
      </c>
      <c r="F885" s="491">
        <v>1411</v>
      </c>
      <c r="G885" s="13" t="s">
        <v>1159</v>
      </c>
      <c r="H885" s="2239">
        <v>14</v>
      </c>
    </row>
    <row r="886" spans="3:8" outlineLevel="2">
      <c r="C886" s="2238">
        <v>42070</v>
      </c>
      <c r="D886" s="13" t="s">
        <v>3923</v>
      </c>
      <c r="E886" s="13" t="s">
        <v>1868</v>
      </c>
      <c r="F886" s="491">
        <v>1411</v>
      </c>
      <c r="G886" s="13" t="s">
        <v>1159</v>
      </c>
      <c r="H886" s="2239">
        <v>14</v>
      </c>
    </row>
    <row r="887" spans="3:8" outlineLevel="2">
      <c r="C887" s="2238">
        <v>42071</v>
      </c>
      <c r="D887" s="13" t="s">
        <v>828</v>
      </c>
      <c r="E887" s="13" t="s">
        <v>1868</v>
      </c>
      <c r="F887" s="491">
        <v>1410</v>
      </c>
      <c r="G887" s="13" t="s">
        <v>20</v>
      </c>
      <c r="H887" s="2239">
        <v>14</v>
      </c>
    </row>
    <row r="888" spans="3:8" outlineLevel="2">
      <c r="C888" s="2238">
        <v>42071</v>
      </c>
      <c r="D888" s="13" t="s">
        <v>829</v>
      </c>
      <c r="E888" s="13" t="s">
        <v>1868</v>
      </c>
      <c r="F888" s="491">
        <v>1410</v>
      </c>
      <c r="G888" s="13" t="s">
        <v>20</v>
      </c>
      <c r="H888" s="2239">
        <v>14</v>
      </c>
    </row>
    <row r="889" spans="3:8" outlineLevel="2">
      <c r="C889" s="2238">
        <v>42071</v>
      </c>
      <c r="D889" s="13" t="s">
        <v>4903</v>
      </c>
      <c r="E889" s="13" t="s">
        <v>1868</v>
      </c>
      <c r="F889" s="491">
        <v>1411</v>
      </c>
      <c r="G889" s="13" t="s">
        <v>1159</v>
      </c>
      <c r="H889" s="2239">
        <v>14</v>
      </c>
    </row>
    <row r="890" spans="3:8" outlineLevel="2">
      <c r="C890" s="2238">
        <v>42071</v>
      </c>
      <c r="D890" s="13" t="s">
        <v>822</v>
      </c>
      <c r="E890" s="13" t="s">
        <v>1868</v>
      </c>
      <c r="F890" s="491">
        <v>1411</v>
      </c>
      <c r="G890" s="13" t="s">
        <v>1159</v>
      </c>
      <c r="H890" s="2239">
        <v>14</v>
      </c>
    </row>
    <row r="891" spans="3:8" outlineLevel="2">
      <c r="C891" s="2238">
        <v>42078</v>
      </c>
      <c r="D891" s="13" t="s">
        <v>4511</v>
      </c>
      <c r="E891" s="13" t="s">
        <v>1868</v>
      </c>
      <c r="F891" s="491">
        <v>1414</v>
      </c>
      <c r="G891" s="13" t="s">
        <v>20</v>
      </c>
      <c r="H891" s="2239">
        <v>14</v>
      </c>
    </row>
    <row r="892" spans="3:8" outlineLevel="2">
      <c r="C892" s="2238">
        <v>42078</v>
      </c>
      <c r="D892" s="13" t="s">
        <v>4512</v>
      </c>
      <c r="E892" s="13" t="s">
        <v>1868</v>
      </c>
      <c r="F892" s="491">
        <v>1414</v>
      </c>
      <c r="G892" s="13" t="s">
        <v>20</v>
      </c>
      <c r="H892" s="2239">
        <v>14</v>
      </c>
    </row>
    <row r="893" spans="3:8" outlineLevel="2">
      <c r="C893" s="2238">
        <v>42078</v>
      </c>
      <c r="D893" s="13" t="s">
        <v>4513</v>
      </c>
      <c r="E893" s="13" t="s">
        <v>1868</v>
      </c>
      <c r="F893" s="491">
        <v>1414</v>
      </c>
      <c r="G893" s="13" t="s">
        <v>20</v>
      </c>
      <c r="H893" s="2239">
        <v>14</v>
      </c>
    </row>
    <row r="894" spans="3:8" outlineLevel="1">
      <c r="C894" s="2238"/>
      <c r="D894" s="13"/>
      <c r="E894" s="2242" t="s">
        <v>310</v>
      </c>
      <c r="F894" s="2241" t="s">
        <v>947</v>
      </c>
      <c r="G894" s="2242"/>
      <c r="H894" s="2243">
        <f>SUBTOTAL(9,H873:H893)</f>
        <v>294</v>
      </c>
    </row>
    <row r="895" spans="3:8" outlineLevel="2">
      <c r="C895" s="2238">
        <v>42078</v>
      </c>
      <c r="D895" s="2244" t="s">
        <v>4515</v>
      </c>
      <c r="E895" s="2244" t="s">
        <v>4514</v>
      </c>
      <c r="F895" s="2245">
        <v>1414</v>
      </c>
      <c r="G895" s="2244" t="s">
        <v>20</v>
      </c>
      <c r="H895" s="2246">
        <v>14</v>
      </c>
    </row>
    <row r="896" spans="3:8" outlineLevel="2">
      <c r="C896" s="2238">
        <v>42078</v>
      </c>
      <c r="D896" s="2244" t="s">
        <v>4516</v>
      </c>
      <c r="E896" s="2244" t="s">
        <v>4514</v>
      </c>
      <c r="F896" s="2245">
        <v>1414</v>
      </c>
      <c r="G896" s="2244" t="s">
        <v>20</v>
      </c>
      <c r="H896" s="2246">
        <v>14</v>
      </c>
    </row>
    <row r="897" spans="3:8" outlineLevel="2">
      <c r="C897" s="2238">
        <v>42078</v>
      </c>
      <c r="D897" s="2244" t="s">
        <v>4517</v>
      </c>
      <c r="E897" s="2244" t="s">
        <v>4514</v>
      </c>
      <c r="F897" s="2245">
        <v>1414</v>
      </c>
      <c r="G897" s="2244" t="s">
        <v>20</v>
      </c>
      <c r="H897" s="2246">
        <v>14</v>
      </c>
    </row>
    <row r="898" spans="3:8" outlineLevel="2">
      <c r="C898" s="2238">
        <v>42078</v>
      </c>
      <c r="D898" s="2244" t="s">
        <v>4518</v>
      </c>
      <c r="E898" s="2244" t="s">
        <v>4514</v>
      </c>
      <c r="F898" s="2245">
        <v>1414</v>
      </c>
      <c r="G898" s="2244" t="s">
        <v>20</v>
      </c>
      <c r="H898" s="2246">
        <v>14</v>
      </c>
    </row>
    <row r="899" spans="3:8" outlineLevel="2">
      <c r="C899" s="2238">
        <v>42078</v>
      </c>
      <c r="D899" s="2244" t="s">
        <v>4519</v>
      </c>
      <c r="E899" s="2244" t="s">
        <v>4514</v>
      </c>
      <c r="F899" s="2245">
        <v>1414</v>
      </c>
      <c r="G899" s="2244" t="s">
        <v>20</v>
      </c>
      <c r="H899" s="2246">
        <v>14</v>
      </c>
    </row>
    <row r="900" spans="3:8" outlineLevel="1">
      <c r="C900" s="2238"/>
      <c r="D900" s="2244"/>
      <c r="E900" s="2" t="s">
        <v>1861</v>
      </c>
      <c r="F900" s="2248" t="s">
        <v>4811</v>
      </c>
      <c r="G900" s="2"/>
      <c r="H900" s="1698">
        <f>SUBTOTAL(9,H895:H899)</f>
        <v>70</v>
      </c>
    </row>
    <row r="901" spans="3:8" outlineLevel="2">
      <c r="C901" s="2238">
        <v>42078</v>
      </c>
      <c r="D901" s="13" t="s">
        <v>1896</v>
      </c>
      <c r="E901" s="13" t="s">
        <v>4520</v>
      </c>
      <c r="F901" s="491">
        <v>1414</v>
      </c>
      <c r="G901" s="13" t="s">
        <v>20</v>
      </c>
      <c r="H901" s="2239">
        <v>14</v>
      </c>
    </row>
    <row r="902" spans="3:8" outlineLevel="2">
      <c r="C902" s="2238">
        <v>42078</v>
      </c>
      <c r="D902" s="13" t="s">
        <v>1897</v>
      </c>
      <c r="E902" s="13" t="s">
        <v>4520</v>
      </c>
      <c r="F902" s="491">
        <v>1414</v>
      </c>
      <c r="G902" s="13" t="s">
        <v>20</v>
      </c>
      <c r="H902" s="2239">
        <v>14</v>
      </c>
    </row>
    <row r="903" spans="3:8" outlineLevel="2">
      <c r="C903" s="2238">
        <v>42078</v>
      </c>
      <c r="D903" s="13" t="s">
        <v>1898</v>
      </c>
      <c r="E903" s="13" t="s">
        <v>4520</v>
      </c>
      <c r="F903" s="491">
        <v>1414</v>
      </c>
      <c r="G903" s="13" t="s">
        <v>20</v>
      </c>
      <c r="H903" s="2239">
        <v>14</v>
      </c>
    </row>
    <row r="904" spans="3:8" outlineLevel="2">
      <c r="C904" s="2238">
        <v>42078</v>
      </c>
      <c r="D904" s="13" t="s">
        <v>1899</v>
      </c>
      <c r="E904" s="13" t="s">
        <v>4520</v>
      </c>
      <c r="F904" s="491">
        <v>1414</v>
      </c>
      <c r="G904" s="13" t="s">
        <v>20</v>
      </c>
      <c r="H904" s="2239">
        <v>14</v>
      </c>
    </row>
    <row r="905" spans="3:8" outlineLevel="1">
      <c r="C905" s="2238"/>
      <c r="D905" s="13"/>
      <c r="E905" s="2242" t="s">
        <v>1862</v>
      </c>
      <c r="F905" s="2241" t="s">
        <v>4812</v>
      </c>
      <c r="G905" s="2242"/>
      <c r="H905" s="2243">
        <f>SUBTOTAL(9,H901:H904)</f>
        <v>56</v>
      </c>
    </row>
    <row r="906" spans="3:8" outlineLevel="2">
      <c r="C906" s="2238">
        <v>42078</v>
      </c>
      <c r="D906" s="2244" t="s">
        <v>1901</v>
      </c>
      <c r="E906" s="2244" t="s">
        <v>1900</v>
      </c>
      <c r="F906" s="2245">
        <v>1414</v>
      </c>
      <c r="G906" s="2244" t="s">
        <v>20</v>
      </c>
      <c r="H906" s="2246">
        <v>14</v>
      </c>
    </row>
    <row r="907" spans="3:8" outlineLevel="2">
      <c r="C907" s="2238">
        <v>42078</v>
      </c>
      <c r="D907" s="2244" t="s">
        <v>1902</v>
      </c>
      <c r="E907" s="2244" t="s">
        <v>1900</v>
      </c>
      <c r="F907" s="2245">
        <v>1414</v>
      </c>
      <c r="G907" s="2244" t="s">
        <v>20</v>
      </c>
      <c r="H907" s="2246">
        <v>14</v>
      </c>
    </row>
    <row r="908" spans="3:8" outlineLevel="2">
      <c r="C908" s="2238">
        <v>42078</v>
      </c>
      <c r="D908" s="2244" t="s">
        <v>1903</v>
      </c>
      <c r="E908" s="2244" t="s">
        <v>1900</v>
      </c>
      <c r="F908" s="2245">
        <v>1414</v>
      </c>
      <c r="G908" s="2244" t="s">
        <v>20</v>
      </c>
      <c r="H908" s="2246">
        <v>14</v>
      </c>
    </row>
    <row r="909" spans="3:8" outlineLevel="1">
      <c r="C909" s="2238"/>
      <c r="D909" s="2244"/>
      <c r="E909" s="2" t="s">
        <v>1863</v>
      </c>
      <c r="F909" s="2247" t="s">
        <v>4813</v>
      </c>
      <c r="G909" s="2"/>
      <c r="H909" s="1698">
        <f>SUBTOTAL(9,H906:H908)</f>
        <v>42</v>
      </c>
    </row>
    <row r="910" spans="3:8" outlineLevel="2">
      <c r="C910" s="2238">
        <v>42078</v>
      </c>
      <c r="D910" s="13" t="s">
        <v>2080</v>
      </c>
      <c r="E910" s="13" t="s">
        <v>2358</v>
      </c>
      <c r="F910" s="491">
        <v>1414</v>
      </c>
      <c r="G910" s="13" t="s">
        <v>20</v>
      </c>
      <c r="H910" s="2239">
        <v>14</v>
      </c>
    </row>
    <row r="911" spans="3:8" outlineLevel="2">
      <c r="C911" s="2238">
        <v>42078</v>
      </c>
      <c r="D911" s="13" t="s">
        <v>2081</v>
      </c>
      <c r="E911" s="13" t="s">
        <v>2358</v>
      </c>
      <c r="F911" s="491">
        <v>1414</v>
      </c>
      <c r="G911" s="13" t="s">
        <v>20</v>
      </c>
      <c r="H911" s="2239">
        <v>14</v>
      </c>
    </row>
    <row r="912" spans="3:8" outlineLevel="2">
      <c r="C912" s="2238">
        <v>42078</v>
      </c>
      <c r="D912" s="13" t="s">
        <v>1232</v>
      </c>
      <c r="E912" s="13" t="s">
        <v>2358</v>
      </c>
      <c r="F912" s="491">
        <v>1414</v>
      </c>
      <c r="G912" s="13" t="s">
        <v>20</v>
      </c>
      <c r="H912" s="2239">
        <v>14</v>
      </c>
    </row>
    <row r="913" spans="3:9" outlineLevel="1">
      <c r="C913" s="2238"/>
      <c r="D913" s="13"/>
      <c r="E913" s="2242" t="s">
        <v>1864</v>
      </c>
      <c r="F913" s="2241" t="s">
        <v>4814</v>
      </c>
      <c r="G913" s="2242"/>
      <c r="H913" s="2243">
        <f>SUBTOTAL(9,H910:H912)</f>
        <v>42</v>
      </c>
    </row>
    <row r="914" spans="3:9" outlineLevel="2">
      <c r="C914" s="2238">
        <v>42078</v>
      </c>
      <c r="D914" s="2244" t="s">
        <v>1234</v>
      </c>
      <c r="E914" s="2244" t="s">
        <v>1233</v>
      </c>
      <c r="F914" s="2245">
        <v>1414</v>
      </c>
      <c r="G914" s="2244" t="s">
        <v>20</v>
      </c>
      <c r="H914" s="2246">
        <v>14</v>
      </c>
    </row>
    <row r="915" spans="3:9" outlineLevel="2">
      <c r="C915" s="2238">
        <v>42078</v>
      </c>
      <c r="D915" s="2244" t="s">
        <v>1235</v>
      </c>
      <c r="E915" s="2244" t="s">
        <v>1233</v>
      </c>
      <c r="F915" s="2245">
        <v>1414</v>
      </c>
      <c r="G915" s="2244" t="s">
        <v>20</v>
      </c>
      <c r="H915" s="2246">
        <v>14</v>
      </c>
    </row>
    <row r="916" spans="3:9" outlineLevel="2">
      <c r="C916" s="2238">
        <v>42078</v>
      </c>
      <c r="D916" s="2244" t="s">
        <v>1236</v>
      </c>
      <c r="E916" s="2244" t="s">
        <v>1233</v>
      </c>
      <c r="F916" s="2245">
        <v>1414</v>
      </c>
      <c r="G916" s="2244" t="s">
        <v>20</v>
      </c>
      <c r="H916" s="2246">
        <v>14</v>
      </c>
    </row>
    <row r="917" spans="3:9" outlineLevel="1">
      <c r="C917" s="2238"/>
      <c r="D917" s="2244"/>
      <c r="E917" s="2" t="s">
        <v>1865</v>
      </c>
      <c r="F917" s="2247" t="s">
        <v>4815</v>
      </c>
      <c r="G917" s="2"/>
      <c r="H917" s="1698">
        <f>SUBTOTAL(9,H914:H916)</f>
        <v>42</v>
      </c>
    </row>
    <row r="918" spans="3:9" ht="13.5">
      <c r="C918" s="2237"/>
      <c r="D918" s="13"/>
      <c r="E918" s="2242" t="s">
        <v>1096</v>
      </c>
      <c r="F918" s="2245"/>
      <c r="G918" s="2244"/>
      <c r="H918" s="1698">
        <f>SUBTOTAL(9,H852:H916)</f>
        <v>784</v>
      </c>
    </row>
    <row r="922" spans="3:9" ht="13.5">
      <c r="C922" s="2208" t="s">
        <v>864</v>
      </c>
      <c r="D922" s="1840"/>
      <c r="E922" s="1841"/>
      <c r="F922" s="1842"/>
      <c r="G922" s="1841"/>
      <c r="H922" s="1843"/>
    </row>
    <row r="923" spans="3:9" ht="14.25" thickBot="1">
      <c r="C923" s="2209" t="s">
        <v>762</v>
      </c>
      <c r="D923" s="2210" t="s">
        <v>1984</v>
      </c>
      <c r="E923" s="2209" t="s">
        <v>2067</v>
      </c>
      <c r="F923" s="2209" t="s">
        <v>1702</v>
      </c>
      <c r="G923" s="2211" t="s">
        <v>1459</v>
      </c>
      <c r="H923" s="2210" t="s">
        <v>3372</v>
      </c>
      <c r="I923" s="2225" t="s">
        <v>2066</v>
      </c>
    </row>
    <row r="924" spans="3:9" ht="13.5" outlineLevel="2" thickTop="1">
      <c r="C924" s="2249">
        <v>42079</v>
      </c>
      <c r="D924" s="484" t="s">
        <v>4436</v>
      </c>
      <c r="E924" s="484" t="s">
        <v>4514</v>
      </c>
      <c r="F924" s="484">
        <v>1415</v>
      </c>
      <c r="G924" s="13" t="s">
        <v>1159</v>
      </c>
      <c r="H924" s="2246">
        <v>14</v>
      </c>
    </row>
    <row r="925" spans="3:9" outlineLevel="2">
      <c r="C925" s="2249">
        <v>42079</v>
      </c>
      <c r="D925" s="484" t="s">
        <v>4437</v>
      </c>
      <c r="E925" s="484" t="s">
        <v>4514</v>
      </c>
      <c r="F925" s="484">
        <v>1415</v>
      </c>
      <c r="G925" s="13" t="s">
        <v>1159</v>
      </c>
      <c r="H925" s="2246">
        <v>14</v>
      </c>
    </row>
    <row r="926" spans="3:9" outlineLevel="2">
      <c r="C926" s="2249">
        <v>42079</v>
      </c>
      <c r="D926" s="484" t="s">
        <v>4438</v>
      </c>
      <c r="E926" s="484" t="s">
        <v>4514</v>
      </c>
      <c r="F926" s="484">
        <v>1415</v>
      </c>
      <c r="G926" s="13" t="s">
        <v>1159</v>
      </c>
      <c r="H926" s="2246">
        <v>14</v>
      </c>
    </row>
    <row r="927" spans="3:9" outlineLevel="2">
      <c r="C927" s="2249">
        <v>42079</v>
      </c>
      <c r="D927" s="484" t="s">
        <v>4439</v>
      </c>
      <c r="E927" s="484" t="s">
        <v>4514</v>
      </c>
      <c r="F927" s="484">
        <v>1415</v>
      </c>
      <c r="G927" s="13" t="s">
        <v>1159</v>
      </c>
      <c r="H927" s="2246">
        <v>14</v>
      </c>
    </row>
    <row r="928" spans="3:9" outlineLevel="2">
      <c r="C928" s="2249">
        <v>42079</v>
      </c>
      <c r="D928" s="484" t="s">
        <v>4440</v>
      </c>
      <c r="E928" s="484" t="s">
        <v>4514</v>
      </c>
      <c r="F928" s="484">
        <v>1415</v>
      </c>
      <c r="G928" s="13" t="s">
        <v>1159</v>
      </c>
      <c r="H928" s="2246">
        <v>14</v>
      </c>
    </row>
    <row r="929" spans="3:9" outlineLevel="2">
      <c r="C929" s="2249">
        <v>42079</v>
      </c>
      <c r="D929" s="484" t="s">
        <v>1463</v>
      </c>
      <c r="E929" s="484" t="s">
        <v>4514</v>
      </c>
      <c r="F929" s="484">
        <v>1415</v>
      </c>
      <c r="G929" s="13" t="s">
        <v>1159</v>
      </c>
      <c r="H929" s="2246">
        <v>14</v>
      </c>
    </row>
    <row r="930" spans="3:9" outlineLevel="2">
      <c r="C930" s="2249">
        <v>42080</v>
      </c>
      <c r="D930" s="484" t="s">
        <v>1464</v>
      </c>
      <c r="E930" s="484" t="s">
        <v>4514</v>
      </c>
      <c r="F930" s="484">
        <v>1415</v>
      </c>
      <c r="G930" s="13" t="s">
        <v>1159</v>
      </c>
      <c r="H930" s="2246">
        <v>14</v>
      </c>
    </row>
    <row r="931" spans="3:9" outlineLevel="2">
      <c r="C931" s="2249">
        <v>42080</v>
      </c>
      <c r="D931" s="484" t="s">
        <v>1466</v>
      </c>
      <c r="E931" s="484" t="s">
        <v>4514</v>
      </c>
      <c r="F931" s="484">
        <v>1416</v>
      </c>
      <c r="G931" s="13" t="s">
        <v>1465</v>
      </c>
      <c r="H931" s="2246">
        <v>14</v>
      </c>
    </row>
    <row r="932" spans="3:9" outlineLevel="2">
      <c r="C932" s="2249">
        <v>42080</v>
      </c>
      <c r="D932" s="484" t="s">
        <v>4819</v>
      </c>
      <c r="E932" s="484" t="s">
        <v>4514</v>
      </c>
      <c r="F932" s="484">
        <v>1415</v>
      </c>
      <c r="G932" s="13" t="s">
        <v>1159</v>
      </c>
      <c r="H932" s="2246">
        <v>14</v>
      </c>
    </row>
    <row r="933" spans="3:9" outlineLevel="2">
      <c r="C933" s="2249">
        <v>42080</v>
      </c>
      <c r="D933" s="484" t="s">
        <v>1533</v>
      </c>
      <c r="E933" s="484" t="s">
        <v>4514</v>
      </c>
      <c r="F933" s="484">
        <v>1415</v>
      </c>
      <c r="G933" s="13" t="s">
        <v>1159</v>
      </c>
      <c r="H933" s="2246">
        <v>14</v>
      </c>
    </row>
    <row r="934" spans="3:9" outlineLevel="2">
      <c r="C934" s="2249">
        <v>42080</v>
      </c>
      <c r="D934" s="484" t="s">
        <v>1534</v>
      </c>
      <c r="E934" s="484" t="s">
        <v>4514</v>
      </c>
      <c r="F934" s="484">
        <v>1414</v>
      </c>
      <c r="G934" s="13" t="s">
        <v>20</v>
      </c>
      <c r="H934" s="2246">
        <v>14</v>
      </c>
    </row>
    <row r="935" spans="3:9" outlineLevel="2">
      <c r="C935" s="2249">
        <v>42080</v>
      </c>
      <c r="D935" s="484" t="s">
        <v>1535</v>
      </c>
      <c r="E935" s="484" t="s">
        <v>4514</v>
      </c>
      <c r="F935" s="484">
        <v>1414</v>
      </c>
      <c r="G935" s="13" t="s">
        <v>20</v>
      </c>
      <c r="H935" s="2246">
        <v>14</v>
      </c>
    </row>
    <row r="936" spans="3:9" outlineLevel="2">
      <c r="C936" s="2249">
        <v>42080</v>
      </c>
      <c r="D936" s="484" t="s">
        <v>1536</v>
      </c>
      <c r="E936" s="484" t="s">
        <v>4514</v>
      </c>
      <c r="F936" s="484">
        <v>1415</v>
      </c>
      <c r="G936" s="13" t="s">
        <v>1159</v>
      </c>
      <c r="H936" s="2246">
        <v>14</v>
      </c>
    </row>
    <row r="937" spans="3:9" outlineLevel="2">
      <c r="C937" s="2249">
        <v>42081</v>
      </c>
      <c r="D937" s="484" t="s">
        <v>1537</v>
      </c>
      <c r="E937" s="484" t="s">
        <v>4514</v>
      </c>
      <c r="F937" s="484">
        <v>1415</v>
      </c>
      <c r="G937" s="13" t="s">
        <v>1159</v>
      </c>
      <c r="H937" s="2246">
        <v>14</v>
      </c>
    </row>
    <row r="938" spans="3:9" ht="15" outlineLevel="1">
      <c r="C938" s="2249"/>
      <c r="D938" s="484"/>
      <c r="E938" s="2250" t="s">
        <v>1861</v>
      </c>
      <c r="F938" s="1099" t="s">
        <v>865</v>
      </c>
      <c r="H938" s="2251">
        <f>SUBTOTAL(9,H924:H937)</f>
        <v>196</v>
      </c>
    </row>
    <row r="939" spans="3:9">
      <c r="C939" s="2249"/>
      <c r="D939" s="484"/>
      <c r="F939" s="484"/>
      <c r="G939" s="2250" t="s">
        <v>3261</v>
      </c>
      <c r="H939" s="2246">
        <f>SUBTOTAL(9,H924:H937)</f>
        <v>196</v>
      </c>
    </row>
    <row r="940" spans="3:9">
      <c r="H940" s="2246"/>
    </row>
    <row r="941" spans="3:9">
      <c r="H941" s="2246"/>
    </row>
    <row r="942" spans="3:9">
      <c r="H942" s="2246"/>
    </row>
    <row r="943" spans="3:9" ht="13.5">
      <c r="C943" s="2208" t="s">
        <v>4106</v>
      </c>
      <c r="D943" s="1840"/>
      <c r="E943" s="1841"/>
      <c r="F943" s="1842"/>
      <c r="G943" s="1841"/>
      <c r="H943" s="1843"/>
    </row>
    <row r="944" spans="3:9" ht="14.25" thickBot="1">
      <c r="C944" s="2209" t="s">
        <v>762</v>
      </c>
      <c r="D944" s="2210" t="s">
        <v>1984</v>
      </c>
      <c r="E944" s="2209" t="s">
        <v>2067</v>
      </c>
      <c r="F944" s="2209" t="s">
        <v>1702</v>
      </c>
      <c r="G944" s="2211" t="s">
        <v>1459</v>
      </c>
      <c r="H944" s="2210" t="s">
        <v>3372</v>
      </c>
      <c r="I944" s="2225" t="s">
        <v>2066</v>
      </c>
    </row>
    <row r="945" spans="3:12" ht="13.5" outlineLevel="2" thickTop="1">
      <c r="C945" s="2312">
        <v>42246</v>
      </c>
      <c r="D945" s="2313" t="s">
        <v>414</v>
      </c>
      <c r="E945" s="2313" t="s">
        <v>415</v>
      </c>
      <c r="F945" s="2313">
        <v>1506</v>
      </c>
      <c r="G945" s="2242" t="s">
        <v>1167</v>
      </c>
      <c r="H945" s="2314">
        <f>20*2</f>
        <v>40</v>
      </c>
      <c r="I945" s="472" t="s">
        <v>416</v>
      </c>
      <c r="K945">
        <v>17.142900000000001</v>
      </c>
      <c r="L945">
        <f>+K945/6*7</f>
        <v>20.000050000000002</v>
      </c>
    </row>
    <row r="946" spans="3:12" outlineLevel="2">
      <c r="C946" s="2249">
        <v>42246</v>
      </c>
      <c r="D946" s="484" t="s">
        <v>419</v>
      </c>
      <c r="E946" s="484" t="s">
        <v>415</v>
      </c>
      <c r="F946" s="484">
        <v>1506</v>
      </c>
      <c r="G946" s="13" t="s">
        <v>5024</v>
      </c>
      <c r="H946" s="91">
        <v>20</v>
      </c>
    </row>
    <row r="947" spans="3:12" ht="15" outlineLevel="1">
      <c r="C947" s="2249"/>
      <c r="D947" s="484"/>
      <c r="E947" s="2250" t="s">
        <v>1169</v>
      </c>
      <c r="F947" s="2315" t="s">
        <v>1173</v>
      </c>
      <c r="G947" s="13"/>
      <c r="H947" s="2251">
        <f>SUBTOTAL(9,H945:H946)</f>
        <v>60</v>
      </c>
    </row>
    <row r="948" spans="3:12" outlineLevel="2">
      <c r="C948" s="2249">
        <v>42246</v>
      </c>
      <c r="D948" s="484" t="s">
        <v>421</v>
      </c>
      <c r="E948" s="484" t="s">
        <v>422</v>
      </c>
      <c r="F948" s="484">
        <v>1506</v>
      </c>
      <c r="G948" s="13" t="s">
        <v>5024</v>
      </c>
      <c r="H948" s="91">
        <v>20</v>
      </c>
    </row>
    <row r="949" spans="3:12" ht="15" outlineLevel="1">
      <c r="C949" s="2249"/>
      <c r="D949" s="484"/>
      <c r="E949" s="472" t="s">
        <v>1170</v>
      </c>
      <c r="F949" s="2315" t="s">
        <v>1174</v>
      </c>
      <c r="G949" s="13"/>
      <c r="H949" s="2251">
        <f>SUBTOTAL(9,H948:H948)</f>
        <v>20</v>
      </c>
    </row>
    <row r="950" spans="3:12" outlineLevel="2">
      <c r="C950" s="2249">
        <v>42246</v>
      </c>
      <c r="D950" s="484" t="s">
        <v>420</v>
      </c>
      <c r="E950" s="484" t="s">
        <v>416</v>
      </c>
      <c r="F950" s="484">
        <v>1506</v>
      </c>
      <c r="G950" s="13" t="s">
        <v>5024</v>
      </c>
      <c r="H950" s="91">
        <v>20</v>
      </c>
    </row>
    <row r="951" spans="3:12" ht="15" outlineLevel="1">
      <c r="C951" s="2249"/>
      <c r="D951" s="484"/>
      <c r="E951" s="472" t="s">
        <v>1171</v>
      </c>
      <c r="F951" s="2315" t="s">
        <v>1175</v>
      </c>
      <c r="G951" s="13"/>
      <c r="H951" s="2251">
        <f>SUBTOTAL(9,H950:H950)</f>
        <v>20</v>
      </c>
    </row>
    <row r="952" spans="3:12" outlineLevel="2">
      <c r="C952" s="2249">
        <v>42246</v>
      </c>
      <c r="D952" s="484" t="s">
        <v>423</v>
      </c>
      <c r="E952" s="484" t="s">
        <v>424</v>
      </c>
      <c r="F952" s="484">
        <v>1506</v>
      </c>
      <c r="G952" s="13" t="s">
        <v>5024</v>
      </c>
      <c r="H952" s="91">
        <v>20</v>
      </c>
    </row>
    <row r="953" spans="3:12" ht="15" outlineLevel="1">
      <c r="C953" s="2249"/>
      <c r="D953" s="484"/>
      <c r="E953" s="472" t="s">
        <v>1172</v>
      </c>
      <c r="F953" s="1099" t="s">
        <v>4066</v>
      </c>
      <c r="G953" s="13"/>
      <c r="H953" s="2251">
        <f>SUBTOTAL(9,H952:H952)</f>
        <v>20</v>
      </c>
    </row>
    <row r="954" spans="3:12" outlineLevel="2">
      <c r="C954" s="2249">
        <v>42246</v>
      </c>
      <c r="D954" s="484" t="s">
        <v>425</v>
      </c>
      <c r="E954" s="484" t="s">
        <v>290</v>
      </c>
      <c r="F954" s="484">
        <v>1506</v>
      </c>
      <c r="G954" s="13" t="s">
        <v>5024</v>
      </c>
      <c r="H954" s="91">
        <v>20</v>
      </c>
    </row>
    <row r="955" spans="3:12" ht="15" outlineLevel="1">
      <c r="C955" s="2249"/>
      <c r="D955" s="484"/>
      <c r="E955" s="472" t="s">
        <v>1571</v>
      </c>
      <c r="F955" s="1099" t="s">
        <v>2485</v>
      </c>
      <c r="G955" s="13"/>
      <c r="H955" s="2251">
        <f>SUBTOTAL(9,H954:H954)</f>
        <v>20</v>
      </c>
    </row>
    <row r="956" spans="3:12" outlineLevel="2">
      <c r="C956" s="2249">
        <v>42246</v>
      </c>
      <c r="D956" s="484" t="s">
        <v>418</v>
      </c>
      <c r="E956" s="484" t="s">
        <v>3050</v>
      </c>
      <c r="F956" s="484">
        <v>1506</v>
      </c>
      <c r="G956" s="13" t="s">
        <v>5024</v>
      </c>
      <c r="H956" s="91">
        <v>20</v>
      </c>
    </row>
    <row r="957" spans="3:12" ht="15" outlineLevel="1">
      <c r="C957" s="2249"/>
      <c r="D957" s="484"/>
      <c r="E957" s="472" t="s">
        <v>4724</v>
      </c>
      <c r="F957" s="1099" t="s">
        <v>4023</v>
      </c>
      <c r="G957" s="13"/>
      <c r="H957" s="2251">
        <f>SUBTOTAL(9,H956:H956)</f>
        <v>20</v>
      </c>
    </row>
    <row r="958" spans="3:12" outlineLevel="2">
      <c r="C958" s="2249">
        <v>42246</v>
      </c>
      <c r="D958" s="484" t="s">
        <v>417</v>
      </c>
      <c r="E958" s="484" t="s">
        <v>56</v>
      </c>
      <c r="F958" s="484">
        <v>1506</v>
      </c>
      <c r="G958" s="13" t="s">
        <v>5024</v>
      </c>
      <c r="H958" s="91">
        <v>20</v>
      </c>
    </row>
    <row r="959" spans="3:12" ht="15" outlineLevel="1">
      <c r="C959" s="2249"/>
      <c r="D959" s="484"/>
      <c r="E959" s="472" t="s">
        <v>264</v>
      </c>
      <c r="F959" s="1099" t="s">
        <v>4974</v>
      </c>
      <c r="G959" s="13"/>
      <c r="H959" s="2251">
        <f>SUBTOTAL(9,H958:H958)</f>
        <v>20</v>
      </c>
    </row>
    <row r="960" spans="3:12" ht="15">
      <c r="C960" s="2249"/>
      <c r="D960" s="484"/>
      <c r="E960" s="472" t="s">
        <v>4975</v>
      </c>
      <c r="F960" s="484"/>
      <c r="G960" s="13"/>
      <c r="H960" s="2317">
        <f>SUBTOTAL(9,H945:H958)</f>
        <v>180</v>
      </c>
    </row>
    <row r="961" spans="3:12" ht="15">
      <c r="C961" s="2249"/>
      <c r="D961" s="484"/>
      <c r="E961" s="472"/>
      <c r="F961" s="484"/>
      <c r="G961" s="13"/>
      <c r="H961" s="2320"/>
    </row>
    <row r="962" spans="3:12" ht="15">
      <c r="C962" s="2249"/>
      <c r="D962" s="484"/>
      <c r="E962" s="2322" t="s">
        <v>416</v>
      </c>
      <c r="F962" s="2315" t="s">
        <v>1175</v>
      </c>
      <c r="G962" s="13"/>
      <c r="H962" s="2320">
        <f>+H951-H945</f>
        <v>-20</v>
      </c>
      <c r="I962" s="2321" t="s">
        <v>4107</v>
      </c>
    </row>
    <row r="963" spans="3:12" ht="15">
      <c r="C963" s="2249"/>
      <c r="D963" s="484"/>
      <c r="E963" s="472"/>
      <c r="F963" s="484"/>
      <c r="G963" s="13"/>
      <c r="H963" s="2320"/>
    </row>
    <row r="964" spans="3:12">
      <c r="C964" s="2249"/>
      <c r="D964" s="484"/>
      <c r="E964" s="484"/>
      <c r="F964" s="484"/>
      <c r="G964" s="13"/>
      <c r="H964" s="91"/>
    </row>
    <row r="965" spans="3:12">
      <c r="C965" s="8" t="s">
        <v>762</v>
      </c>
      <c r="D965" s="8" t="s">
        <v>1984</v>
      </c>
      <c r="E965" s="8" t="s">
        <v>2067</v>
      </c>
      <c r="F965" s="71" t="s">
        <v>1702</v>
      </c>
      <c r="G965" s="8" t="s">
        <v>1459</v>
      </c>
      <c r="H965" s="8" t="s">
        <v>3372</v>
      </c>
    </row>
    <row r="966" spans="3:12" outlineLevel="2">
      <c r="C966" s="2249">
        <v>42242</v>
      </c>
      <c r="D966" s="484" t="s">
        <v>426</v>
      </c>
      <c r="E966" s="484" t="s">
        <v>646</v>
      </c>
      <c r="F966" s="484">
        <v>1502</v>
      </c>
      <c r="G966" s="13" t="s">
        <v>20</v>
      </c>
      <c r="H966" s="91">
        <v>14</v>
      </c>
      <c r="K966">
        <v>12</v>
      </c>
      <c r="L966">
        <f>+K966/6*7</f>
        <v>14</v>
      </c>
    </row>
    <row r="967" spans="3:12" outlineLevel="2">
      <c r="C967" s="2249">
        <v>42243</v>
      </c>
      <c r="D967" s="484" t="s">
        <v>427</v>
      </c>
      <c r="E967" s="484" t="s">
        <v>646</v>
      </c>
      <c r="F967" s="484">
        <v>1507</v>
      </c>
      <c r="G967" s="13" t="s">
        <v>20</v>
      </c>
      <c r="H967" s="91">
        <v>14</v>
      </c>
      <c r="K967">
        <v>12</v>
      </c>
      <c r="L967">
        <f>+K967/6*7</f>
        <v>14</v>
      </c>
    </row>
    <row r="968" spans="3:12" outlineLevel="2">
      <c r="C968" s="2249">
        <v>42243</v>
      </c>
      <c r="D968" s="484" t="s">
        <v>429</v>
      </c>
      <c r="E968" s="484" t="s">
        <v>646</v>
      </c>
      <c r="F968" s="484">
        <v>1508</v>
      </c>
      <c r="G968" s="13" t="s">
        <v>428</v>
      </c>
      <c r="H968" s="91">
        <v>14</v>
      </c>
      <c r="K968">
        <v>12</v>
      </c>
      <c r="L968">
        <f>+K968/6*7</f>
        <v>14</v>
      </c>
    </row>
    <row r="969" spans="3:12" outlineLevel="2">
      <c r="C969" s="2249">
        <v>42244</v>
      </c>
      <c r="D969" s="484" t="s">
        <v>3805</v>
      </c>
      <c r="E969" s="484" t="s">
        <v>646</v>
      </c>
      <c r="F969" s="484">
        <v>1508</v>
      </c>
      <c r="G969" s="13" t="s">
        <v>428</v>
      </c>
      <c r="H969" s="91">
        <v>14</v>
      </c>
      <c r="K969">
        <v>17.142900000000001</v>
      </c>
      <c r="L969">
        <f>+K969/6*7</f>
        <v>20.000050000000002</v>
      </c>
    </row>
    <row r="970" spans="3:12" outlineLevel="2">
      <c r="C970" s="2249">
        <v>42244</v>
      </c>
      <c r="D970" s="484" t="s">
        <v>3806</v>
      </c>
      <c r="E970" s="484" t="s">
        <v>646</v>
      </c>
      <c r="F970" s="484">
        <v>1508</v>
      </c>
      <c r="G970" s="13" t="s">
        <v>428</v>
      </c>
      <c r="H970" s="91">
        <v>14</v>
      </c>
    </row>
    <row r="971" spans="3:12" outlineLevel="2">
      <c r="C971" s="2249">
        <v>42244</v>
      </c>
      <c r="D971" s="484" t="s">
        <v>3807</v>
      </c>
      <c r="E971" s="484" t="s">
        <v>646</v>
      </c>
      <c r="F971" s="484">
        <v>1508</v>
      </c>
      <c r="G971" s="13" t="s">
        <v>428</v>
      </c>
      <c r="H971" s="91">
        <v>14</v>
      </c>
    </row>
    <row r="972" spans="3:12" outlineLevel="2">
      <c r="C972" s="2249">
        <v>42244</v>
      </c>
      <c r="D972" s="484" t="s">
        <v>1670</v>
      </c>
      <c r="E972" s="484" t="s">
        <v>646</v>
      </c>
      <c r="F972" s="484">
        <v>1508</v>
      </c>
      <c r="G972" s="13" t="s">
        <v>428</v>
      </c>
      <c r="H972" s="91">
        <v>14</v>
      </c>
    </row>
    <row r="973" spans="3:12" outlineLevel="2">
      <c r="C973" s="2249">
        <v>42244</v>
      </c>
      <c r="D973" s="484" t="s">
        <v>1671</v>
      </c>
      <c r="E973" s="484" t="s">
        <v>646</v>
      </c>
      <c r="F973" s="484">
        <v>1508</v>
      </c>
      <c r="G973" s="13" t="s">
        <v>428</v>
      </c>
      <c r="H973" s="91">
        <v>14</v>
      </c>
    </row>
    <row r="974" spans="3:12" outlineLevel="2">
      <c r="C974" s="2249">
        <v>42244</v>
      </c>
      <c r="D974" s="484" t="s">
        <v>1672</v>
      </c>
      <c r="E974" s="484" t="s">
        <v>646</v>
      </c>
      <c r="F974" s="484">
        <v>1508</v>
      </c>
      <c r="G974" s="13" t="s">
        <v>428</v>
      </c>
      <c r="H974" s="91">
        <v>14</v>
      </c>
    </row>
    <row r="975" spans="3:12" outlineLevel="2">
      <c r="C975" s="2249">
        <v>42245</v>
      </c>
      <c r="D975" s="484" t="s">
        <v>1673</v>
      </c>
      <c r="E975" s="484" t="s">
        <v>646</v>
      </c>
      <c r="F975" s="484">
        <v>1508</v>
      </c>
      <c r="G975" s="13" t="s">
        <v>428</v>
      </c>
      <c r="H975" s="91">
        <v>14</v>
      </c>
    </row>
    <row r="976" spans="3:12" outlineLevel="2">
      <c r="C976" s="2249">
        <v>42245</v>
      </c>
      <c r="D976" s="484" t="s">
        <v>4177</v>
      </c>
      <c r="E976" s="484" t="s">
        <v>646</v>
      </c>
      <c r="F976" s="484">
        <v>1509</v>
      </c>
      <c r="G976" s="13" t="s">
        <v>1674</v>
      </c>
      <c r="H976" s="91">
        <v>14</v>
      </c>
      <c r="K976">
        <v>12</v>
      </c>
      <c r="L976">
        <f>+K976/6*7</f>
        <v>14</v>
      </c>
    </row>
    <row r="977" spans="2:8" ht="15.75" outlineLevel="1" thickBot="1">
      <c r="C977" s="2249"/>
      <c r="E977" s="2250" t="s">
        <v>2622</v>
      </c>
      <c r="F977" s="2315" t="s">
        <v>1168</v>
      </c>
      <c r="G977" s="13"/>
      <c r="H977" s="2318">
        <f>SUBTOTAL(9,H966:H976)</f>
        <v>154</v>
      </c>
    </row>
    <row r="978" spans="2:8" ht="16.5" thickBot="1">
      <c r="C978" s="2249"/>
      <c r="E978" s="2316" t="s">
        <v>3261</v>
      </c>
      <c r="F978" s="484"/>
      <c r="G978" s="13"/>
      <c r="H978" s="2319">
        <f>+H977+H960</f>
        <v>334</v>
      </c>
    </row>
    <row r="985" spans="2:8">
      <c r="C985" t="s">
        <v>2030</v>
      </c>
      <c r="F985" s="2353">
        <v>42395</v>
      </c>
    </row>
    <row r="986" spans="2:8">
      <c r="B986" s="2348">
        <v>42395</v>
      </c>
      <c r="C986" s="2349" t="s">
        <v>2019</v>
      </c>
      <c r="D986" s="2350">
        <v>3800</v>
      </c>
    </row>
    <row r="987" spans="2:8">
      <c r="B987" s="2348"/>
      <c r="C987" s="2349"/>
      <c r="D987" s="2350"/>
    </row>
    <row r="988" spans="2:8">
      <c r="B988" s="2348"/>
      <c r="C988" s="2349" t="s">
        <v>2032</v>
      </c>
      <c r="D988" s="2350"/>
    </row>
    <row r="989" spans="2:8">
      <c r="B989" s="2348">
        <v>42395</v>
      </c>
      <c r="C989" s="2349" t="s">
        <v>2020</v>
      </c>
      <c r="D989" s="2351">
        <v>-215.44</v>
      </c>
      <c r="E989" t="s">
        <v>2033</v>
      </c>
    </row>
    <row r="990" spans="2:8">
      <c r="B990" s="2348">
        <v>42395</v>
      </c>
      <c r="C990" s="2349" t="s">
        <v>2021</v>
      </c>
      <c r="D990" s="2351">
        <v>-190.02</v>
      </c>
      <c r="E990" t="s">
        <v>3362</v>
      </c>
    </row>
    <row r="991" spans="2:8">
      <c r="B991" s="2348">
        <v>42395</v>
      </c>
      <c r="C991" s="2349" t="s">
        <v>2022</v>
      </c>
      <c r="D991" s="2351">
        <v>-225.99</v>
      </c>
      <c r="E991" t="s">
        <v>2034</v>
      </c>
    </row>
    <row r="992" spans="2:8">
      <c r="B992" s="2348">
        <v>42395</v>
      </c>
      <c r="C992" s="2349" t="s">
        <v>2022</v>
      </c>
      <c r="D992" s="2351">
        <v>-78.36</v>
      </c>
      <c r="E992" t="s">
        <v>1714</v>
      </c>
    </row>
    <row r="993" spans="2:8">
      <c r="B993" s="2348">
        <v>42395</v>
      </c>
      <c r="C993" s="2349" t="s">
        <v>2023</v>
      </c>
      <c r="D993" s="2351">
        <v>-179.24</v>
      </c>
      <c r="E993" t="s">
        <v>2672</v>
      </c>
    </row>
    <row r="994" spans="2:8">
      <c r="B994" s="2348">
        <v>42395</v>
      </c>
      <c r="C994" s="2349" t="s">
        <v>2024</v>
      </c>
      <c r="D994" s="2351">
        <v>-229</v>
      </c>
      <c r="E994" t="s">
        <v>2035</v>
      </c>
    </row>
    <row r="995" spans="2:8">
      <c r="B995" s="2348">
        <v>42395</v>
      </c>
      <c r="C995" s="2349" t="s">
        <v>2025</v>
      </c>
      <c r="D995" s="2351">
        <v>-167.13</v>
      </c>
      <c r="E995" t="s">
        <v>2036</v>
      </c>
    </row>
    <row r="996" spans="2:8">
      <c r="B996" s="2348">
        <v>42395</v>
      </c>
      <c r="C996" s="2349" t="s">
        <v>2026</v>
      </c>
      <c r="D996" s="2351">
        <v>-176.64</v>
      </c>
      <c r="E996" t="s">
        <v>1204</v>
      </c>
    </row>
    <row r="997" spans="2:8">
      <c r="B997" s="2348">
        <v>42395</v>
      </c>
      <c r="C997" s="2349" t="s">
        <v>2027</v>
      </c>
      <c r="D997" s="2351">
        <v>-130.52000000000001</v>
      </c>
      <c r="E997" t="s">
        <v>2639</v>
      </c>
    </row>
    <row r="998" spans="2:8">
      <c r="B998" s="2348">
        <v>42395</v>
      </c>
      <c r="C998" s="2349" t="s">
        <v>2022</v>
      </c>
      <c r="D998" s="2351">
        <v>-150</v>
      </c>
      <c r="E998" t="s">
        <v>1714</v>
      </c>
    </row>
    <row r="999" spans="2:8">
      <c r="B999" s="2348">
        <v>42395</v>
      </c>
      <c r="C999" s="2349" t="s">
        <v>2028</v>
      </c>
      <c r="D999" s="2351">
        <v>-154</v>
      </c>
      <c r="E999" t="s">
        <v>1720</v>
      </c>
    </row>
    <row r="1000" spans="2:8">
      <c r="B1000" s="2348">
        <v>42395</v>
      </c>
      <c r="C1000" s="2349" t="s">
        <v>2029</v>
      </c>
      <c r="D1000" s="2351">
        <v>-338</v>
      </c>
      <c r="E1000" t="s">
        <v>1205</v>
      </c>
    </row>
    <row r="1001" spans="2:8">
      <c r="C1001" s="2352" t="s">
        <v>2031</v>
      </c>
      <c r="D1001" s="1792">
        <f>SUM(D989:D1000)</f>
        <v>-2234.34</v>
      </c>
    </row>
    <row r="1002" spans="2:8">
      <c r="D1002" s="1792"/>
    </row>
    <row r="1003" spans="2:8">
      <c r="D1003" s="1691">
        <f>+D986+D1001</f>
        <v>1565.6599999999999</v>
      </c>
    </row>
    <row r="1005" spans="2:8" ht="13.5">
      <c r="C1005" s="2208" t="s">
        <v>812</v>
      </c>
      <c r="D1005" s="1840"/>
      <c r="E1005" s="1841"/>
      <c r="F1005" s="1842"/>
      <c r="G1005" s="1841"/>
      <c r="H1005" s="1843"/>
    </row>
    <row r="1006" spans="2:8" ht="14.25" thickBot="1">
      <c r="C1006" s="2209" t="s">
        <v>762</v>
      </c>
      <c r="D1006" s="2210" t="s">
        <v>1984</v>
      </c>
      <c r="E1006" s="2209" t="s">
        <v>2067</v>
      </c>
      <c r="F1006" s="2209" t="s">
        <v>1702</v>
      </c>
      <c r="G1006" s="2211" t="s">
        <v>1459</v>
      </c>
      <c r="H1006" s="2210" t="s">
        <v>3372</v>
      </c>
    </row>
    <row r="1007" spans="2:8" ht="13.5" outlineLevel="2" thickTop="1">
      <c r="C1007" s="2380">
        <v>42565</v>
      </c>
      <c r="D1007" s="1495" t="s">
        <v>769</v>
      </c>
      <c r="E1007" s="1495" t="s">
        <v>770</v>
      </c>
      <c r="F1007" s="1495">
        <v>1671</v>
      </c>
      <c r="G1007" s="429" t="s">
        <v>1159</v>
      </c>
      <c r="H1007" s="2384">
        <v>14</v>
      </c>
    </row>
    <row r="1008" spans="2:8" outlineLevel="1">
      <c r="C1008" s="2380"/>
      <c r="D1008" s="1495"/>
      <c r="E1008" s="2381" t="s">
        <v>802</v>
      </c>
      <c r="F1008" s="2382" t="s">
        <v>806</v>
      </c>
      <c r="G1008" s="429"/>
      <c r="H1008" s="2385">
        <f>SUBTOTAL(9,H1007:H1007)</f>
        <v>14</v>
      </c>
    </row>
    <row r="1009" spans="3:8" outlineLevel="2">
      <c r="C1009" s="2380">
        <v>42565</v>
      </c>
      <c r="D1009" s="1495" t="s">
        <v>792</v>
      </c>
      <c r="E1009" s="1495" t="s">
        <v>793</v>
      </c>
      <c r="F1009" s="1495">
        <v>1671</v>
      </c>
      <c r="G1009" s="429" t="s">
        <v>1159</v>
      </c>
      <c r="H1009" s="2384">
        <v>14</v>
      </c>
    </row>
    <row r="1010" spans="3:8" outlineLevel="2">
      <c r="C1010" s="2380">
        <v>42565</v>
      </c>
      <c r="D1010" s="1495" t="s">
        <v>794</v>
      </c>
      <c r="E1010" s="1495" t="s">
        <v>793</v>
      </c>
      <c r="F1010" s="1495">
        <v>1671</v>
      </c>
      <c r="G1010" s="429" t="s">
        <v>1159</v>
      </c>
      <c r="H1010" s="2384">
        <v>14</v>
      </c>
    </row>
    <row r="1011" spans="3:8" outlineLevel="1">
      <c r="C1011" s="2380"/>
      <c r="D1011" s="1495"/>
      <c r="E1011" s="2383" t="s">
        <v>803</v>
      </c>
      <c r="F1011" s="2382" t="s">
        <v>807</v>
      </c>
      <c r="G1011" s="429"/>
      <c r="H1011" s="2385">
        <f>SUBTOTAL(9,H1009:H1010)</f>
        <v>28</v>
      </c>
    </row>
    <row r="1012" spans="3:8" outlineLevel="2">
      <c r="C1012" s="2380">
        <v>42565</v>
      </c>
      <c r="D1012" s="1495" t="s">
        <v>798</v>
      </c>
      <c r="E1012" s="1495" t="s">
        <v>799</v>
      </c>
      <c r="F1012" s="1495">
        <v>1670</v>
      </c>
      <c r="G1012" s="429" t="s">
        <v>4910</v>
      </c>
      <c r="H1012" s="2384">
        <v>14</v>
      </c>
    </row>
    <row r="1013" spans="3:8" outlineLevel="1">
      <c r="C1013" s="2380"/>
      <c r="D1013" s="1495"/>
      <c r="E1013" s="2383" t="s">
        <v>804</v>
      </c>
      <c r="F1013" s="2382" t="s">
        <v>808</v>
      </c>
      <c r="G1013" s="429"/>
      <c r="H1013" s="2385">
        <f>SUBTOTAL(9,H1012:H1012)</f>
        <v>14</v>
      </c>
    </row>
    <row r="1014" spans="3:8" outlineLevel="2">
      <c r="C1014" s="2380">
        <v>42562</v>
      </c>
      <c r="D1014" s="1495" t="s">
        <v>766</v>
      </c>
      <c r="E1014" s="1495" t="s">
        <v>767</v>
      </c>
      <c r="F1014" s="1495">
        <v>1671</v>
      </c>
      <c r="G1014" s="429" t="s">
        <v>1159</v>
      </c>
      <c r="H1014" s="2384">
        <v>14</v>
      </c>
    </row>
    <row r="1015" spans="3:8" outlineLevel="2">
      <c r="C1015" s="2380">
        <v>42562</v>
      </c>
      <c r="D1015" s="1495" t="s">
        <v>768</v>
      </c>
      <c r="E1015" s="1495" t="s">
        <v>767</v>
      </c>
      <c r="F1015" s="1495">
        <v>1671</v>
      </c>
      <c r="G1015" s="429" t="s">
        <v>1159</v>
      </c>
      <c r="H1015" s="2384">
        <v>14</v>
      </c>
    </row>
    <row r="1016" spans="3:8" outlineLevel="1">
      <c r="C1016" s="2380"/>
      <c r="D1016" s="1495"/>
      <c r="E1016" s="2383" t="s">
        <v>805</v>
      </c>
      <c r="F1016" s="2382" t="s">
        <v>809</v>
      </c>
      <c r="G1016" s="429"/>
      <c r="H1016" s="2385">
        <f>SUBTOTAL(9,H1014:H1015)</f>
        <v>28</v>
      </c>
    </row>
    <row r="1017" spans="3:8" outlineLevel="2">
      <c r="C1017" s="2380">
        <v>42565</v>
      </c>
      <c r="D1017" s="1495" t="s">
        <v>795</v>
      </c>
      <c r="E1017" s="1495" t="s">
        <v>4514</v>
      </c>
      <c r="F1017" s="1495">
        <v>1671</v>
      </c>
      <c r="G1017" s="429" t="s">
        <v>1159</v>
      </c>
      <c r="H1017" s="2384">
        <v>14</v>
      </c>
    </row>
    <row r="1018" spans="3:8" outlineLevel="2">
      <c r="C1018" s="2380">
        <v>42565</v>
      </c>
      <c r="D1018" s="1495" t="s">
        <v>801</v>
      </c>
      <c r="E1018" s="1495" t="s">
        <v>4514</v>
      </c>
      <c r="F1018" s="1495">
        <v>1670</v>
      </c>
      <c r="G1018" s="429" t="s">
        <v>4910</v>
      </c>
      <c r="H1018" s="2384">
        <v>14</v>
      </c>
    </row>
    <row r="1019" spans="3:8" outlineLevel="2">
      <c r="C1019" s="2380">
        <v>42565</v>
      </c>
      <c r="D1019" s="1495" t="s">
        <v>796</v>
      </c>
      <c r="E1019" s="1495" t="s">
        <v>4514</v>
      </c>
      <c r="F1019" s="1495">
        <v>1671</v>
      </c>
      <c r="G1019" s="429" t="s">
        <v>1159</v>
      </c>
      <c r="H1019" s="2384">
        <v>14</v>
      </c>
    </row>
    <row r="1020" spans="3:8" outlineLevel="2">
      <c r="C1020" s="2380">
        <v>42566</v>
      </c>
      <c r="D1020" s="1495" t="s">
        <v>797</v>
      </c>
      <c r="E1020" s="1495" t="s">
        <v>4514</v>
      </c>
      <c r="F1020" s="1495">
        <v>1671</v>
      </c>
      <c r="G1020" s="429" t="s">
        <v>1159</v>
      </c>
      <c r="H1020" s="2384">
        <v>14</v>
      </c>
    </row>
    <row r="1021" spans="3:8" outlineLevel="1">
      <c r="C1021" s="2380"/>
      <c r="D1021" s="1495"/>
      <c r="E1021" s="2383" t="s">
        <v>1861</v>
      </c>
      <c r="F1021" s="2382" t="s">
        <v>810</v>
      </c>
      <c r="G1021" s="429"/>
      <c r="H1021" s="2385">
        <f>SUBTOTAL(9,H1017:H1020)</f>
        <v>56</v>
      </c>
    </row>
    <row r="1022" spans="3:8" outlineLevel="2">
      <c r="C1022" s="2380">
        <v>42565</v>
      </c>
      <c r="D1022" s="1495" t="s">
        <v>800</v>
      </c>
      <c r="E1022" s="1495" t="s">
        <v>167</v>
      </c>
      <c r="F1022" s="1495">
        <v>1670</v>
      </c>
      <c r="G1022" s="429" t="s">
        <v>4910</v>
      </c>
      <c r="H1022" s="2384">
        <v>14</v>
      </c>
    </row>
    <row r="1023" spans="3:8" outlineLevel="1">
      <c r="C1023" s="2380"/>
      <c r="D1023" s="1495"/>
      <c r="E1023" s="2383" t="s">
        <v>842</v>
      </c>
      <c r="F1023" s="2382" t="s">
        <v>811</v>
      </c>
      <c r="G1023" s="429"/>
      <c r="H1023" s="2385">
        <f>SUBTOTAL(9,H1022:H1022)</f>
        <v>14</v>
      </c>
    </row>
    <row r="1024" spans="3:8">
      <c r="C1024" s="2380"/>
      <c r="D1024" s="1495"/>
      <c r="E1024" s="2383" t="s">
        <v>3261</v>
      </c>
      <c r="F1024" s="1495"/>
      <c r="G1024" s="429"/>
      <c r="H1024" s="2384">
        <f>SUBTOTAL(9,H1007:H1022)</f>
        <v>154</v>
      </c>
    </row>
    <row r="1026" spans="3:8" ht="13.5">
      <c r="C1026" s="2208" t="s">
        <v>3712</v>
      </c>
      <c r="D1026" s="1840"/>
      <c r="E1026" s="1841"/>
      <c r="F1026" s="1842"/>
      <c r="G1026" s="1841"/>
      <c r="H1026" s="1843"/>
    </row>
    <row r="1027" spans="3:8" ht="14.25" thickBot="1">
      <c r="C1027" s="2209" t="s">
        <v>762</v>
      </c>
      <c r="D1027" s="2210" t="s">
        <v>1984</v>
      </c>
      <c r="E1027" s="2209" t="s">
        <v>2067</v>
      </c>
      <c r="F1027" s="2209" t="s">
        <v>1702</v>
      </c>
      <c r="G1027" s="2211" t="s">
        <v>1459</v>
      </c>
      <c r="H1027" s="2210" t="s">
        <v>3372</v>
      </c>
    </row>
    <row r="1028" spans="3:8" ht="13.5" outlineLevel="2" thickTop="1">
      <c r="C1028" s="2380">
        <v>42577</v>
      </c>
      <c r="D1028" s="1495" t="s">
        <v>3714</v>
      </c>
      <c r="E1028" s="1495" t="s">
        <v>3713</v>
      </c>
      <c r="F1028" s="1495">
        <v>1674</v>
      </c>
      <c r="G1028" s="429" t="s">
        <v>1159</v>
      </c>
      <c r="H1028" s="2384">
        <v>14</v>
      </c>
    </row>
    <row r="1029" spans="3:8" outlineLevel="2">
      <c r="C1029" s="2380">
        <v>42578</v>
      </c>
      <c r="D1029" s="1495" t="s">
        <v>3715</v>
      </c>
      <c r="E1029" s="1495" t="s">
        <v>3713</v>
      </c>
      <c r="F1029" s="1495">
        <v>1677</v>
      </c>
      <c r="G1029" s="429" t="s">
        <v>1159</v>
      </c>
      <c r="H1029" s="2384">
        <v>14</v>
      </c>
    </row>
    <row r="1030" spans="3:8" outlineLevel="2">
      <c r="C1030" s="2380">
        <v>42578</v>
      </c>
      <c r="D1030" s="1495" t="s">
        <v>3716</v>
      </c>
      <c r="E1030" s="1495" t="s">
        <v>3713</v>
      </c>
      <c r="F1030" s="1495">
        <v>1677</v>
      </c>
      <c r="G1030" s="429" t="s">
        <v>1159</v>
      </c>
      <c r="H1030" s="2384">
        <v>14</v>
      </c>
    </row>
    <row r="1031" spans="3:8" outlineLevel="2">
      <c r="C1031" s="2392">
        <v>42579</v>
      </c>
      <c r="D1031" s="2393" t="s">
        <v>3717</v>
      </c>
      <c r="E1031" s="2393" t="s">
        <v>3713</v>
      </c>
      <c r="F1031" s="2393">
        <v>1677</v>
      </c>
      <c r="G1031" s="2394" t="s">
        <v>1159</v>
      </c>
      <c r="H1031" s="2395">
        <v>28</v>
      </c>
    </row>
    <row r="1032" spans="3:8" outlineLevel="2">
      <c r="C1032" s="2392">
        <v>42579</v>
      </c>
      <c r="D1032" s="2393" t="s">
        <v>3719</v>
      </c>
      <c r="E1032" s="2393" t="s">
        <v>3713</v>
      </c>
      <c r="F1032" s="2393">
        <v>1676</v>
      </c>
      <c r="G1032" s="2394" t="s">
        <v>4949</v>
      </c>
      <c r="H1032" s="2395">
        <v>28</v>
      </c>
    </row>
    <row r="1033" spans="3:8" outlineLevel="2">
      <c r="C1033" s="2392">
        <v>42579</v>
      </c>
      <c r="D1033" s="2393" t="s">
        <v>3718</v>
      </c>
      <c r="E1033" s="2393" t="s">
        <v>3713</v>
      </c>
      <c r="F1033" s="2393">
        <v>1677</v>
      </c>
      <c r="G1033" s="2394" t="s">
        <v>1159</v>
      </c>
      <c r="H1033" s="2395">
        <v>28</v>
      </c>
    </row>
    <row r="1034" spans="3:8" outlineLevel="2">
      <c r="C1034" s="2392">
        <v>42580</v>
      </c>
      <c r="D1034" s="2393" t="s">
        <v>3721</v>
      </c>
      <c r="E1034" s="2393" t="s">
        <v>3713</v>
      </c>
      <c r="F1034" s="2393">
        <v>1677</v>
      </c>
      <c r="G1034" s="2394" t="s">
        <v>1159</v>
      </c>
      <c r="H1034" s="2395">
        <v>28</v>
      </c>
    </row>
    <row r="1035" spans="3:8" outlineLevel="2">
      <c r="C1035" s="2392">
        <v>42580</v>
      </c>
      <c r="D1035" s="2393" t="s">
        <v>3722</v>
      </c>
      <c r="E1035" s="2393" t="s">
        <v>3713</v>
      </c>
      <c r="F1035" s="2393">
        <v>1676</v>
      </c>
      <c r="G1035" s="2394" t="s">
        <v>4949</v>
      </c>
      <c r="H1035" s="2395">
        <v>28</v>
      </c>
    </row>
    <row r="1036" spans="3:8" outlineLevel="2">
      <c r="C1036" s="2392">
        <v>42580</v>
      </c>
      <c r="D1036" s="2393" t="s">
        <v>3720</v>
      </c>
      <c r="E1036" s="2393" t="s">
        <v>3713</v>
      </c>
      <c r="F1036" s="2393">
        <v>1677</v>
      </c>
      <c r="G1036" s="2394" t="s">
        <v>1159</v>
      </c>
      <c r="H1036" s="2395">
        <v>28</v>
      </c>
    </row>
    <row r="1037" spans="3:8" outlineLevel="2">
      <c r="C1037" s="2380">
        <v>42581</v>
      </c>
      <c r="D1037" s="1495" t="s">
        <v>3725</v>
      </c>
      <c r="E1037" s="1495" t="s">
        <v>3713</v>
      </c>
      <c r="F1037" s="1495">
        <v>1677</v>
      </c>
      <c r="G1037" s="429" t="s">
        <v>1159</v>
      </c>
      <c r="H1037" s="2384">
        <v>14</v>
      </c>
    </row>
    <row r="1038" spans="3:8" outlineLevel="2">
      <c r="C1038" s="2380">
        <v>42581</v>
      </c>
      <c r="D1038" s="1495" t="s">
        <v>3723</v>
      </c>
      <c r="E1038" s="1495" t="s">
        <v>3713</v>
      </c>
      <c r="F1038" s="1495">
        <v>1677</v>
      </c>
      <c r="G1038" s="429" t="s">
        <v>1159</v>
      </c>
      <c r="H1038" s="2384">
        <v>14</v>
      </c>
    </row>
    <row r="1039" spans="3:8" outlineLevel="2">
      <c r="C1039" s="2380">
        <v>42581</v>
      </c>
      <c r="D1039" s="1495" t="s">
        <v>3724</v>
      </c>
      <c r="E1039" s="1495" t="s">
        <v>3713</v>
      </c>
      <c r="F1039" s="1495">
        <v>1677</v>
      </c>
      <c r="G1039" s="429" t="s">
        <v>1159</v>
      </c>
      <c r="H1039" s="2384">
        <v>14</v>
      </c>
    </row>
    <row r="1040" spans="3:8" outlineLevel="2">
      <c r="C1040" s="2392">
        <v>42582</v>
      </c>
      <c r="D1040" s="2393" t="s">
        <v>3728</v>
      </c>
      <c r="E1040" s="2393" t="s">
        <v>3713</v>
      </c>
      <c r="F1040" s="2393">
        <v>1677</v>
      </c>
      <c r="G1040" s="2394" t="s">
        <v>1159</v>
      </c>
      <c r="H1040" s="2395">
        <v>28</v>
      </c>
    </row>
    <row r="1041" spans="2:14" outlineLevel="2">
      <c r="C1041" s="2392">
        <v>42582</v>
      </c>
      <c r="D1041" s="2393" t="s">
        <v>3727</v>
      </c>
      <c r="E1041" s="2393" t="s">
        <v>3713</v>
      </c>
      <c r="F1041" s="2393">
        <v>1677</v>
      </c>
      <c r="G1041" s="2394" t="s">
        <v>1159</v>
      </c>
      <c r="H1041" s="2395">
        <v>28</v>
      </c>
    </row>
    <row r="1042" spans="2:14" outlineLevel="2">
      <c r="C1042" s="2392">
        <v>42582</v>
      </c>
      <c r="D1042" s="2393" t="s">
        <v>3730</v>
      </c>
      <c r="E1042" s="2393" t="s">
        <v>3713</v>
      </c>
      <c r="F1042" s="2393">
        <v>1677</v>
      </c>
      <c r="G1042" s="2394" t="s">
        <v>1159</v>
      </c>
      <c r="H1042" s="2395">
        <v>28</v>
      </c>
    </row>
    <row r="1043" spans="2:14" outlineLevel="2">
      <c r="C1043" s="2392">
        <v>42582</v>
      </c>
      <c r="D1043" s="2393" t="s">
        <v>3729</v>
      </c>
      <c r="E1043" s="2393" t="s">
        <v>3713</v>
      </c>
      <c r="F1043" s="2393">
        <v>1677</v>
      </c>
      <c r="G1043" s="2394" t="s">
        <v>1159</v>
      </c>
      <c r="H1043" s="2395">
        <v>28</v>
      </c>
    </row>
    <row r="1044" spans="2:14" outlineLevel="2">
      <c r="C1044" s="2392">
        <v>42582</v>
      </c>
      <c r="D1044" s="2393" t="s">
        <v>3726</v>
      </c>
      <c r="E1044" s="2393" t="s">
        <v>3713</v>
      </c>
      <c r="F1044" s="2393">
        <v>1677</v>
      </c>
      <c r="G1044" s="2394" t="s">
        <v>1159</v>
      </c>
      <c r="H1044" s="2395">
        <v>28</v>
      </c>
    </row>
    <row r="1045" spans="2:14" s="890" customFormat="1" outlineLevel="1">
      <c r="B1045" s="2396"/>
      <c r="C1045" s="2380"/>
      <c r="D1045" s="1495"/>
      <c r="E1045" s="2381" t="s">
        <v>3731</v>
      </c>
      <c r="F1045" s="2382" t="s">
        <v>3732</v>
      </c>
      <c r="G1045" s="429"/>
      <c r="H1045" s="2385">
        <f>SUBTOTAL(9,H1028:H1044)</f>
        <v>392</v>
      </c>
    </row>
    <row r="1046" spans="2:14" s="890" customFormat="1">
      <c r="C1046" s="2380"/>
      <c r="D1046" s="1495"/>
      <c r="E1046" s="2381" t="s">
        <v>3261</v>
      </c>
      <c r="F1046" s="1495"/>
      <c r="G1046" s="429"/>
      <c r="H1046" s="2384">
        <f>SUBTOTAL(9,H1028:H1044)</f>
        <v>392</v>
      </c>
    </row>
    <row r="1048" spans="2:14">
      <c r="D1048" s="2608"/>
    </row>
    <row r="1049" spans="2:14">
      <c r="D1049" s="2608"/>
    </row>
    <row r="1050" spans="2:14">
      <c r="I1050" s="2611" t="s">
        <v>5108</v>
      </c>
      <c r="J1050" s="1700"/>
      <c r="K1050" s="1700"/>
      <c r="L1050" s="1700"/>
      <c r="M1050" s="1700"/>
      <c r="N1050" s="2610"/>
    </row>
    <row r="1051" spans="2:14" ht="5.0999999999999996" customHeight="1">
      <c r="D1051" s="2608"/>
      <c r="I1051" s="2612"/>
      <c r="J1051" s="888"/>
      <c r="K1051" s="888"/>
      <c r="L1051" s="888"/>
      <c r="M1051" s="888"/>
      <c r="N1051" s="888"/>
    </row>
    <row r="1052" spans="2:14" ht="45">
      <c r="I1052" s="2609" t="s">
        <v>1600</v>
      </c>
      <c r="J1052" s="2613" t="s">
        <v>2067</v>
      </c>
      <c r="K1052" s="2614" t="s">
        <v>5106</v>
      </c>
      <c r="L1052" s="2615" t="s">
        <v>5104</v>
      </c>
      <c r="M1052" s="2615" t="s">
        <v>5105</v>
      </c>
      <c r="N1052" s="2614" t="s">
        <v>5107</v>
      </c>
    </row>
    <row r="1053" spans="2:14">
      <c r="I1053" s="94" t="s">
        <v>3050</v>
      </c>
      <c r="J1053" s="2616" t="s">
        <v>5095</v>
      </c>
      <c r="K1053" s="2617">
        <v>42</v>
      </c>
      <c r="L1053" s="2617">
        <v>48</v>
      </c>
      <c r="M1053" s="2620">
        <v>0</v>
      </c>
      <c r="N1053" s="2617">
        <f>+K1053+L1053+M1053</f>
        <v>90</v>
      </c>
    </row>
    <row r="1054" spans="2:14">
      <c r="I1054" s="94" t="s">
        <v>706</v>
      </c>
      <c r="J1054" s="2618" t="s">
        <v>1358</v>
      </c>
      <c r="K1054" s="2617">
        <v>51</v>
      </c>
      <c r="L1054" s="2617">
        <v>63</v>
      </c>
      <c r="M1054" s="2620">
        <v>0</v>
      </c>
      <c r="N1054" s="2617">
        <f t="shared" ref="N1054:N1060" si="1">+K1054+L1054+M1054</f>
        <v>114</v>
      </c>
    </row>
    <row r="1055" spans="2:14">
      <c r="I1055" s="94" t="s">
        <v>167</v>
      </c>
      <c r="J1055" s="2618" t="s">
        <v>4175</v>
      </c>
      <c r="K1055" s="2617">
        <v>45</v>
      </c>
      <c r="L1055" s="2617">
        <v>57</v>
      </c>
      <c r="M1055" s="2620">
        <v>0</v>
      </c>
      <c r="N1055" s="2617">
        <f t="shared" si="1"/>
        <v>102</v>
      </c>
    </row>
    <row r="1056" spans="2:14">
      <c r="I1056" s="94" t="s">
        <v>290</v>
      </c>
      <c r="J1056" s="2618" t="s">
        <v>3461</v>
      </c>
      <c r="K1056" s="2617">
        <v>75</v>
      </c>
      <c r="L1056" s="2617">
        <v>90</v>
      </c>
      <c r="M1056" s="2620">
        <v>0</v>
      </c>
      <c r="N1056" s="2617">
        <f t="shared" si="1"/>
        <v>165</v>
      </c>
    </row>
    <row r="1057" spans="4:14">
      <c r="I1057" s="94" t="s">
        <v>5100</v>
      </c>
      <c r="J1057" s="2618" t="s">
        <v>5096</v>
      </c>
      <c r="K1057" s="2617">
        <v>48</v>
      </c>
      <c r="L1057" s="2617">
        <v>48</v>
      </c>
      <c r="M1057" s="2620">
        <v>0</v>
      </c>
      <c r="N1057" s="2617">
        <f t="shared" si="1"/>
        <v>96</v>
      </c>
    </row>
    <row r="1058" spans="4:14">
      <c r="I1058" s="94" t="s">
        <v>5101</v>
      </c>
      <c r="J1058" s="2618" t="s">
        <v>5097</v>
      </c>
      <c r="K1058" s="2617">
        <v>21</v>
      </c>
      <c r="L1058" s="2617">
        <v>51</v>
      </c>
      <c r="M1058" s="2620">
        <v>0</v>
      </c>
      <c r="N1058" s="2617">
        <f t="shared" si="1"/>
        <v>72</v>
      </c>
    </row>
    <row r="1059" spans="4:14">
      <c r="I1059" s="94" t="s">
        <v>5102</v>
      </c>
      <c r="J1059" s="2618" t="s">
        <v>5098</v>
      </c>
      <c r="K1059" s="2617">
        <v>60</v>
      </c>
      <c r="L1059" s="2617">
        <v>60</v>
      </c>
      <c r="M1059" s="2620">
        <v>0</v>
      </c>
      <c r="N1059" s="2617">
        <f t="shared" si="1"/>
        <v>120</v>
      </c>
    </row>
    <row r="1060" spans="4:14" ht="13.5" thickBot="1">
      <c r="I1060" s="94" t="s">
        <v>5103</v>
      </c>
      <c r="J1060" s="2618" t="s">
        <v>5099</v>
      </c>
      <c r="K1060" s="2617">
        <v>42</v>
      </c>
      <c r="L1060" s="2617">
        <v>0</v>
      </c>
      <c r="M1060" s="2620">
        <v>0</v>
      </c>
      <c r="N1060" s="2619">
        <f t="shared" si="1"/>
        <v>42</v>
      </c>
    </row>
    <row r="1061" spans="4:14" ht="13.5" thickTop="1">
      <c r="I1061" s="13"/>
      <c r="J1061" s="13"/>
      <c r="K1061" s="2617"/>
      <c r="L1061" s="2617"/>
      <c r="M1061" s="2617"/>
      <c r="N1061" s="2617">
        <f>SUM(N1053:N1060)</f>
        <v>801</v>
      </c>
    </row>
    <row r="1063" spans="4:14">
      <c r="D1063" s="2608"/>
      <c r="I1063" s="2611" t="s">
        <v>5113</v>
      </c>
      <c r="J1063" s="1700"/>
      <c r="K1063" s="1700"/>
      <c r="L1063" s="1700"/>
      <c r="M1063" s="1700"/>
      <c r="N1063" s="2610"/>
    </row>
    <row r="1064" spans="4:14" ht="5.0999999999999996" customHeight="1">
      <c r="D1064" s="2608"/>
      <c r="I1064" s="2612"/>
      <c r="J1064" s="888"/>
      <c r="K1064" s="888"/>
      <c r="L1064" s="888"/>
      <c r="M1064" s="888"/>
      <c r="N1064" s="888"/>
    </row>
    <row r="1065" spans="4:14" ht="45">
      <c r="D1065" s="2608"/>
      <c r="I1065" s="2609" t="s">
        <v>1600</v>
      </c>
      <c r="J1065" s="2613" t="s">
        <v>2067</v>
      </c>
      <c r="K1065" s="2614" t="s">
        <v>5106</v>
      </c>
      <c r="L1065" s="2615" t="s">
        <v>5104</v>
      </c>
      <c r="M1065" s="2615" t="s">
        <v>5105</v>
      </c>
      <c r="N1065" s="2614" t="s">
        <v>5107</v>
      </c>
    </row>
    <row r="1066" spans="4:14">
      <c r="D1066" s="2608"/>
      <c r="I1066" s="94" t="s">
        <v>3050</v>
      </c>
      <c r="J1066" s="2616" t="s">
        <v>5095</v>
      </c>
      <c r="K1066" s="2620">
        <v>0</v>
      </c>
      <c r="L1066" s="2620">
        <v>0</v>
      </c>
      <c r="M1066" s="2617">
        <v>6</v>
      </c>
      <c r="N1066" s="2617">
        <f>+K1066+L1066+M1066</f>
        <v>6</v>
      </c>
    </row>
    <row r="1067" spans="4:14">
      <c r="D1067" s="2608"/>
      <c r="I1067" s="94" t="s">
        <v>706</v>
      </c>
      <c r="J1067" s="2618" t="s">
        <v>1358</v>
      </c>
      <c r="K1067" s="2620">
        <v>0</v>
      </c>
      <c r="L1067" s="2620">
        <v>0</v>
      </c>
      <c r="M1067" s="2617">
        <v>3</v>
      </c>
      <c r="N1067" s="2617">
        <f t="shared" ref="N1067:N1073" si="2">+K1067+L1067+M1067</f>
        <v>3</v>
      </c>
    </row>
    <row r="1068" spans="4:14">
      <c r="D1068" s="2608"/>
      <c r="I1068" s="94" t="s">
        <v>167</v>
      </c>
      <c r="J1068" s="2618" t="s">
        <v>4175</v>
      </c>
      <c r="K1068" s="2620">
        <v>0</v>
      </c>
      <c r="L1068" s="2620">
        <v>0</v>
      </c>
      <c r="M1068" s="2617">
        <v>3</v>
      </c>
      <c r="N1068" s="2617">
        <f t="shared" si="2"/>
        <v>3</v>
      </c>
    </row>
    <row r="1069" spans="4:14">
      <c r="D1069" s="2608"/>
      <c r="I1069" s="94" t="s">
        <v>290</v>
      </c>
      <c r="J1069" s="2618" t="s">
        <v>3461</v>
      </c>
      <c r="K1069" s="2620">
        <v>0</v>
      </c>
      <c r="L1069" s="2620">
        <v>0</v>
      </c>
      <c r="M1069" s="2617">
        <v>0</v>
      </c>
      <c r="N1069" s="2617">
        <f t="shared" si="2"/>
        <v>0</v>
      </c>
    </row>
    <row r="1070" spans="4:14">
      <c r="D1070" s="2608"/>
      <c r="I1070" s="94" t="s">
        <v>5100</v>
      </c>
      <c r="J1070" s="2618" t="s">
        <v>5096</v>
      </c>
      <c r="K1070" s="2620">
        <v>0</v>
      </c>
      <c r="L1070" s="2620">
        <v>0</v>
      </c>
      <c r="M1070" s="2617">
        <v>0</v>
      </c>
      <c r="N1070" s="2617">
        <f t="shared" si="2"/>
        <v>0</v>
      </c>
    </row>
    <row r="1071" spans="4:14">
      <c r="D1071" s="2608"/>
      <c r="I1071" s="94" t="s">
        <v>5101</v>
      </c>
      <c r="J1071" s="2618" t="s">
        <v>5097</v>
      </c>
      <c r="K1071" s="2620">
        <v>0</v>
      </c>
      <c r="L1071" s="2620">
        <v>0</v>
      </c>
      <c r="M1071" s="2617">
        <v>0</v>
      </c>
      <c r="N1071" s="2617">
        <f t="shared" si="2"/>
        <v>0</v>
      </c>
    </row>
    <row r="1072" spans="4:14">
      <c r="D1072" s="2608"/>
      <c r="I1072" s="94" t="s">
        <v>5102</v>
      </c>
      <c r="J1072" s="2618" t="s">
        <v>5098</v>
      </c>
      <c r="K1072" s="2620">
        <v>0</v>
      </c>
      <c r="L1072" s="2620">
        <v>0</v>
      </c>
      <c r="M1072" s="2617">
        <v>6</v>
      </c>
      <c r="N1072" s="2617">
        <f t="shared" si="2"/>
        <v>6</v>
      </c>
    </row>
    <row r="1073" spans="4:14" ht="13.5" thickBot="1">
      <c r="D1073" s="2608"/>
      <c r="I1073" s="94" t="s">
        <v>5103</v>
      </c>
      <c r="J1073" s="2618" t="s">
        <v>5099</v>
      </c>
      <c r="K1073" s="2620">
        <v>0</v>
      </c>
      <c r="L1073" s="2620">
        <v>0</v>
      </c>
      <c r="M1073" s="2617">
        <v>0</v>
      </c>
      <c r="N1073" s="2619">
        <f t="shared" si="2"/>
        <v>0</v>
      </c>
    </row>
    <row r="1074" spans="4:14" ht="13.5" thickTop="1">
      <c r="N1074" s="2617">
        <f>SUM(N1066:N1073)</f>
        <v>18</v>
      </c>
    </row>
    <row r="1078" spans="4:14" ht="14.25">
      <c r="I1078" s="2658" t="s">
        <v>5126</v>
      </c>
      <c r="J1078" s="1787"/>
      <c r="K1078" s="1787"/>
      <c r="L1078" s="1787"/>
      <c r="M1078" s="1787"/>
      <c r="N1078" s="2659"/>
    </row>
    <row r="1079" spans="4:14" ht="5.0999999999999996" customHeight="1">
      <c r="I1079" s="2660"/>
      <c r="J1079" s="2661"/>
      <c r="K1079" s="2661"/>
      <c r="L1079" s="2661"/>
      <c r="M1079" s="2661"/>
      <c r="N1079" s="2661"/>
    </row>
    <row r="1080" spans="4:14" ht="45">
      <c r="I1080" s="2662" t="s">
        <v>1600</v>
      </c>
      <c r="J1080" s="2663" t="s">
        <v>2067</v>
      </c>
      <c r="K1080" s="2651" t="s">
        <v>5123</v>
      </c>
      <c r="L1080" s="2651" t="s">
        <v>5117</v>
      </c>
      <c r="M1080" s="2651" t="s">
        <v>5107</v>
      </c>
      <c r="N1080" s="2664"/>
    </row>
    <row r="1081" spans="4:14" ht="15">
      <c r="I1081" s="2652" t="s">
        <v>3050</v>
      </c>
      <c r="J1081" s="2653" t="s">
        <v>5095</v>
      </c>
      <c r="K1081" s="2654">
        <v>12</v>
      </c>
      <c r="L1081" s="2655"/>
      <c r="M1081" s="2617">
        <f>+K1081*L1081</f>
        <v>0</v>
      </c>
      <c r="N1081" s="2664"/>
    </row>
    <row r="1082" spans="4:14" ht="15">
      <c r="I1082" s="2652" t="s">
        <v>706</v>
      </c>
      <c r="J1082" s="2656" t="s">
        <v>1358</v>
      </c>
      <c r="K1082" s="2654">
        <v>11</v>
      </c>
      <c r="L1082" s="2655"/>
      <c r="M1082" s="2617">
        <f t="shared" ref="M1082:M1088" si="3">+K1082*L1082</f>
        <v>0</v>
      </c>
      <c r="N1082" s="2664"/>
    </row>
    <row r="1083" spans="4:14" ht="15">
      <c r="I1083" s="2652" t="s">
        <v>290</v>
      </c>
      <c r="J1083" s="2656" t="s">
        <v>3461</v>
      </c>
      <c r="K1083" s="2654">
        <v>14</v>
      </c>
      <c r="L1083" s="2655">
        <v>5</v>
      </c>
      <c r="M1083" s="2617">
        <f t="shared" si="3"/>
        <v>70</v>
      </c>
      <c r="N1083" s="2664"/>
    </row>
    <row r="1084" spans="4:14" ht="15">
      <c r="I1084" s="2652" t="s">
        <v>5118</v>
      </c>
      <c r="J1084" s="2656" t="s">
        <v>5119</v>
      </c>
      <c r="K1084" s="2654">
        <v>14</v>
      </c>
      <c r="L1084" s="2655">
        <v>3</v>
      </c>
      <c r="M1084" s="2617">
        <f t="shared" si="3"/>
        <v>42</v>
      </c>
      <c r="N1084" s="2664"/>
    </row>
    <row r="1085" spans="4:14" ht="15">
      <c r="I1085" s="2652" t="s">
        <v>793</v>
      </c>
      <c r="J1085" s="2656" t="s">
        <v>3324</v>
      </c>
      <c r="K1085" s="2654">
        <v>6</v>
      </c>
      <c r="L1085" s="2655"/>
      <c r="M1085" s="2617">
        <f t="shared" si="3"/>
        <v>0</v>
      </c>
      <c r="N1085" s="2664"/>
    </row>
    <row r="1086" spans="4:14" ht="15">
      <c r="I1086" s="2652" t="s">
        <v>5120</v>
      </c>
      <c r="J1086" s="2656" t="s">
        <v>3321</v>
      </c>
      <c r="K1086" s="2654">
        <v>14</v>
      </c>
      <c r="L1086" s="2655">
        <v>3</v>
      </c>
      <c r="M1086" s="2617">
        <f t="shared" si="3"/>
        <v>42</v>
      </c>
      <c r="N1086" s="2664"/>
    </row>
    <row r="1087" spans="4:14" ht="15">
      <c r="D1087" s="2650"/>
      <c r="I1087" s="2652" t="s">
        <v>5121</v>
      </c>
      <c r="J1087" s="2656" t="s">
        <v>5122</v>
      </c>
      <c r="K1087" s="2654">
        <v>13</v>
      </c>
      <c r="L1087" s="2655">
        <v>3</v>
      </c>
      <c r="M1087" s="2617">
        <f>+K1087*L1087</f>
        <v>39</v>
      </c>
      <c r="N1087" s="2664"/>
    </row>
    <row r="1088" spans="4:14" ht="15.75" thickBot="1">
      <c r="I1088" s="2652" t="s">
        <v>5102</v>
      </c>
      <c r="J1088" s="2656" t="s">
        <v>5098</v>
      </c>
      <c r="K1088" s="2654">
        <v>15</v>
      </c>
      <c r="L1088" s="2655">
        <v>3</v>
      </c>
      <c r="M1088" s="2619">
        <f t="shared" si="3"/>
        <v>45</v>
      </c>
      <c r="N1088" s="2664"/>
    </row>
    <row r="1089" spans="9:15" ht="15" thickTop="1">
      <c r="I1089" s="1"/>
      <c r="J1089" s="1"/>
      <c r="K1089" s="1"/>
      <c r="L1089" s="1"/>
      <c r="M1089" s="2617">
        <f>SUM(M1081:M1088)</f>
        <v>238</v>
      </c>
      <c r="N1089" s="2664"/>
    </row>
    <row r="1090" spans="9:15">
      <c r="I1090" s="429"/>
      <c r="J1090" s="429"/>
      <c r="K1090" s="429"/>
      <c r="L1090" s="429"/>
      <c r="M1090" s="429"/>
      <c r="N1090" s="429"/>
    </row>
    <row r="1092" spans="9:15" ht="14.25">
      <c r="I1092" s="2658" t="s">
        <v>5132</v>
      </c>
      <c r="J1092" s="1787"/>
      <c r="K1092" s="1787"/>
      <c r="L1092" s="1787"/>
      <c r="M1092" s="1787"/>
      <c r="N1092" s="2659"/>
    </row>
    <row r="1093" spans="9:15">
      <c r="I1093" s="2660"/>
      <c r="J1093" s="2661"/>
      <c r="K1093" s="2661"/>
      <c r="L1093" s="2661"/>
      <c r="M1093" s="2661"/>
      <c r="N1093" s="2661"/>
    </row>
    <row r="1094" spans="9:15" ht="34.5">
      <c r="I1094" s="2662" t="s">
        <v>1600</v>
      </c>
      <c r="J1094" s="2663" t="s">
        <v>2067</v>
      </c>
      <c r="K1094" s="2668" t="s">
        <v>5131</v>
      </c>
      <c r="L1094" s="2668" t="s">
        <v>5129</v>
      </c>
      <c r="M1094" s="2668" t="s">
        <v>5131</v>
      </c>
      <c r="N1094" s="2668" t="s">
        <v>5130</v>
      </c>
      <c r="O1094" s="2667" t="s">
        <v>5107</v>
      </c>
    </row>
    <row r="1095" spans="9:15" ht="14.25">
      <c r="I1095" s="2657" t="s">
        <v>3050</v>
      </c>
      <c r="J1095" s="2670" t="s">
        <v>5095</v>
      </c>
      <c r="K1095" s="2671">
        <v>12</v>
      </c>
      <c r="L1095" s="2672">
        <v>0</v>
      </c>
      <c r="M1095" s="2671">
        <v>6</v>
      </c>
      <c r="N1095" s="2672">
        <v>0</v>
      </c>
      <c r="O1095" s="2665"/>
    </row>
    <row r="1096" spans="9:15" ht="14.25">
      <c r="I1096" s="2657" t="s">
        <v>706</v>
      </c>
      <c r="J1096" s="2673" t="s">
        <v>1358</v>
      </c>
      <c r="K1096" s="2671">
        <v>32</v>
      </c>
      <c r="L1096" s="2672">
        <f>+K1096*3</f>
        <v>96</v>
      </c>
      <c r="M1096" s="2671">
        <v>8</v>
      </c>
      <c r="N1096" s="2672">
        <v>0</v>
      </c>
      <c r="O1096" s="2665">
        <f t="shared" ref="O1096:O1102" si="4">+L1096+N1096</f>
        <v>96</v>
      </c>
    </row>
    <row r="1097" spans="9:15" ht="14.25">
      <c r="I1097" s="2657" t="s">
        <v>290</v>
      </c>
      <c r="J1097" s="2673" t="s">
        <v>3461</v>
      </c>
      <c r="K1097" s="2671">
        <v>23</v>
      </c>
      <c r="L1097" s="2672">
        <f>+K1097*5</f>
        <v>115</v>
      </c>
      <c r="M1097" s="2671">
        <v>11</v>
      </c>
      <c r="N1097" s="2672">
        <f>+M1097*5</f>
        <v>55</v>
      </c>
      <c r="O1097" s="2665">
        <f t="shared" si="4"/>
        <v>170</v>
      </c>
    </row>
    <row r="1098" spans="9:15" ht="14.25">
      <c r="I1098" s="2657" t="s">
        <v>5128</v>
      </c>
      <c r="J1098" s="2673" t="s">
        <v>5127</v>
      </c>
      <c r="K1098" s="2671">
        <v>6</v>
      </c>
      <c r="L1098" s="2672">
        <v>0</v>
      </c>
      <c r="M1098" s="2671">
        <v>0</v>
      </c>
      <c r="N1098" s="2672">
        <v>0</v>
      </c>
      <c r="O1098" s="2665"/>
    </row>
    <row r="1099" spans="9:15" ht="14.25">
      <c r="I1099" s="2657" t="s">
        <v>5118</v>
      </c>
      <c r="J1099" s="2673" t="s">
        <v>5119</v>
      </c>
      <c r="K1099" s="2671">
        <v>31</v>
      </c>
      <c r="L1099" s="2672">
        <f>+K1099*3</f>
        <v>93</v>
      </c>
      <c r="M1099" s="2671">
        <v>7</v>
      </c>
      <c r="N1099" s="2672">
        <v>0</v>
      </c>
      <c r="O1099" s="2665">
        <f t="shared" si="4"/>
        <v>93</v>
      </c>
    </row>
    <row r="1100" spans="9:15" ht="14.25">
      <c r="I1100" s="2657" t="s">
        <v>5120</v>
      </c>
      <c r="J1100" s="2673" t="s">
        <v>3321</v>
      </c>
      <c r="K1100" s="2671">
        <v>24</v>
      </c>
      <c r="L1100" s="2672">
        <f>+K1100*3</f>
        <v>72</v>
      </c>
      <c r="M1100" s="2671">
        <v>4</v>
      </c>
      <c r="N1100" s="2672">
        <v>0</v>
      </c>
      <c r="O1100" s="2665">
        <f t="shared" si="4"/>
        <v>72</v>
      </c>
    </row>
    <row r="1101" spans="9:15" ht="14.25">
      <c r="I1101" s="2657" t="s">
        <v>5121</v>
      </c>
      <c r="J1101" s="2673" t="s">
        <v>5122</v>
      </c>
      <c r="K1101" s="2671">
        <v>12</v>
      </c>
      <c r="L1101" s="2672">
        <v>0</v>
      </c>
      <c r="M1101" s="2671">
        <v>0</v>
      </c>
      <c r="N1101" s="2672">
        <v>0</v>
      </c>
      <c r="O1101" s="2665"/>
    </row>
    <row r="1102" spans="9:15" ht="15" thickBot="1">
      <c r="I1102" s="2657" t="s">
        <v>5102</v>
      </c>
      <c r="J1102" s="2673" t="s">
        <v>5098</v>
      </c>
      <c r="K1102" s="2671">
        <v>31</v>
      </c>
      <c r="L1102" s="2672">
        <f>+K1102*3</f>
        <v>93</v>
      </c>
      <c r="M1102" s="2671">
        <v>10</v>
      </c>
      <c r="N1102" s="2672">
        <v>0</v>
      </c>
      <c r="O1102" s="2666">
        <f t="shared" si="4"/>
        <v>93</v>
      </c>
    </row>
    <row r="1103" spans="9:15" ht="15" thickTop="1">
      <c r="I1103" s="2657"/>
      <c r="J1103" s="2673"/>
      <c r="K1103" s="2669"/>
      <c r="L1103" s="2665">
        <f>SUM(L1095:L1102)</f>
        <v>469</v>
      </c>
      <c r="M1103" s="2669"/>
      <c r="N1103" s="2665">
        <f>SUM(N1095:N1102)</f>
        <v>55</v>
      </c>
      <c r="O1103" s="2665">
        <f>SUM(O1095:O1102)</f>
        <v>524</v>
      </c>
    </row>
    <row r="1104" spans="9:15" ht="14.25">
      <c r="I1104" s="1"/>
      <c r="J1104" s="1"/>
    </row>
    <row r="1106" spans="9:16" ht="14.25">
      <c r="I1106" s="2658" t="s">
        <v>5192</v>
      </c>
      <c r="J1106" s="1787"/>
      <c r="K1106" s="1787"/>
      <c r="L1106" s="1787"/>
      <c r="M1106" s="1787"/>
      <c r="N1106" s="2659"/>
    </row>
    <row r="1107" spans="9:16">
      <c r="I1107" s="2660"/>
      <c r="J1107" s="2661"/>
      <c r="K1107" s="2661"/>
      <c r="L1107" s="2661"/>
      <c r="M1107" s="2661"/>
      <c r="N1107" s="2661"/>
    </row>
    <row r="1108" spans="9:16" ht="26.25">
      <c r="I1108" s="2662" t="s">
        <v>1600</v>
      </c>
      <c r="J1108" s="2663" t="s">
        <v>2067</v>
      </c>
      <c r="K1108" s="2668" t="s">
        <v>5131</v>
      </c>
      <c r="L1108" s="2668" t="s">
        <v>5191</v>
      </c>
      <c r="M1108" s="2667" t="s">
        <v>5107</v>
      </c>
    </row>
    <row r="1109" spans="9:16" ht="14.25">
      <c r="I1109" s="2719" t="s">
        <v>706</v>
      </c>
      <c r="J1109" s="2673" t="s">
        <v>1358</v>
      </c>
      <c r="K1109" s="2671">
        <v>18</v>
      </c>
      <c r="L1109" s="2672">
        <v>3</v>
      </c>
      <c r="M1109" s="2665">
        <f>+K1109*L1109</f>
        <v>54</v>
      </c>
    </row>
    <row r="1110" spans="9:16" ht="14.25">
      <c r="I1110" s="2719" t="s">
        <v>290</v>
      </c>
      <c r="J1110" s="2673" t="s">
        <v>3461</v>
      </c>
      <c r="K1110" s="2671">
        <v>13</v>
      </c>
      <c r="L1110" s="2672">
        <v>5</v>
      </c>
      <c r="M1110" s="2665">
        <f t="shared" ref="M1110:M1115" si="5">+K1110*L1110</f>
        <v>65</v>
      </c>
    </row>
    <row r="1111" spans="9:16" ht="14.25">
      <c r="I1111" s="2719" t="s">
        <v>5118</v>
      </c>
      <c r="J1111" s="2673" t="s">
        <v>5119</v>
      </c>
      <c r="K1111" s="2671">
        <v>18</v>
      </c>
      <c r="L1111" s="2672">
        <v>3</v>
      </c>
      <c r="M1111" s="2665">
        <f t="shared" si="5"/>
        <v>54</v>
      </c>
    </row>
    <row r="1112" spans="9:16" ht="14.25">
      <c r="I1112" s="2719" t="s">
        <v>5193</v>
      </c>
      <c r="J1112" s="2673" t="s">
        <v>5190</v>
      </c>
      <c r="K1112" s="2671">
        <v>4</v>
      </c>
      <c r="L1112" s="2672">
        <v>0</v>
      </c>
      <c r="M1112" s="2665">
        <f t="shared" si="5"/>
        <v>0</v>
      </c>
    </row>
    <row r="1113" spans="9:16" ht="14.25">
      <c r="I1113" s="2719" t="s">
        <v>5120</v>
      </c>
      <c r="J1113" s="2673" t="s">
        <v>3321</v>
      </c>
      <c r="K1113" s="2671">
        <v>15</v>
      </c>
      <c r="L1113" s="2672">
        <v>0</v>
      </c>
      <c r="M1113" s="2665">
        <f t="shared" si="5"/>
        <v>0</v>
      </c>
    </row>
    <row r="1114" spans="9:16" ht="14.25">
      <c r="I1114" s="2719" t="s">
        <v>5194</v>
      </c>
      <c r="J1114" s="2673" t="s">
        <v>3327</v>
      </c>
      <c r="K1114" s="2671">
        <v>15</v>
      </c>
      <c r="L1114" s="2672">
        <v>0</v>
      </c>
      <c r="M1114" s="2665">
        <f t="shared" si="5"/>
        <v>0</v>
      </c>
    </row>
    <row r="1115" spans="9:16" ht="14.25">
      <c r="I1115" s="2719" t="s">
        <v>5102</v>
      </c>
      <c r="J1115" s="2673" t="s">
        <v>5098</v>
      </c>
      <c r="K1115" s="2671">
        <v>15</v>
      </c>
      <c r="L1115" s="2672">
        <v>0</v>
      </c>
      <c r="M1115" s="2665">
        <f t="shared" si="5"/>
        <v>0</v>
      </c>
    </row>
    <row r="1116" spans="9:16" ht="15" thickBot="1">
      <c r="I1116" s="2719"/>
      <c r="J1116" s="2673"/>
      <c r="K1116" s="2671"/>
      <c r="L1116" s="2672"/>
      <c r="M1116" s="2666"/>
    </row>
    <row r="1117" spans="9:16" ht="15" thickTop="1">
      <c r="I1117" s="2719"/>
      <c r="J1117" s="2673"/>
      <c r="K1117" s="2720">
        <f>SUM(K1109:K1115)</f>
        <v>98</v>
      </c>
      <c r="L1117" s="2617"/>
      <c r="M1117" s="2617">
        <f>SUM(M1109:M1116)</f>
        <v>173</v>
      </c>
    </row>
    <row r="1118" spans="9:16" ht="14.25">
      <c r="I1118" s="1"/>
      <c r="J1118" s="1"/>
    </row>
    <row r="1119" spans="9:16">
      <c r="J1119" s="2770"/>
    </row>
    <row r="1120" spans="9:16" ht="15.75">
      <c r="I1120" s="3840" t="s">
        <v>5216</v>
      </c>
      <c r="J1120" s="3840"/>
      <c r="K1120" s="3840"/>
      <c r="L1120" s="3840"/>
      <c r="M1120" s="3840"/>
      <c r="N1120" s="3840"/>
      <c r="O1120" s="3840"/>
      <c r="P1120" s="3840"/>
    </row>
    <row r="1121" spans="4:19" ht="15.75">
      <c r="I1121" s="2769"/>
      <c r="J1121" s="2396"/>
      <c r="K1121" s="2771">
        <v>43038</v>
      </c>
      <c r="L1121" s="2772">
        <f>+K1121+5</f>
        <v>43043</v>
      </c>
      <c r="M1121" s="3841">
        <f>+K1121+6</f>
        <v>43044</v>
      </c>
      <c r="N1121" s="3841"/>
      <c r="O1121" s="2773"/>
      <c r="P1121" s="2766" t="s">
        <v>5244</v>
      </c>
      <c r="Q1121" s="2680" t="s">
        <v>5249</v>
      </c>
      <c r="R1121" s="2680" t="s">
        <v>5247</v>
      </c>
    </row>
    <row r="1122" spans="4:19" ht="15.75">
      <c r="I1122" s="2680" t="s">
        <v>4197</v>
      </c>
      <c r="J1122" s="2396" t="s">
        <v>3820</v>
      </c>
      <c r="K1122" s="2396"/>
      <c r="L1122" s="2764" t="s">
        <v>5246</v>
      </c>
      <c r="M1122" s="2763" t="s">
        <v>5123</v>
      </c>
      <c r="N1122" s="2680" t="s">
        <v>5243</v>
      </c>
      <c r="O1122" s="2773" t="s">
        <v>1492</v>
      </c>
      <c r="P1122" s="2767" t="s">
        <v>5245</v>
      </c>
      <c r="Q1122" s="2785" t="s">
        <v>5250</v>
      </c>
      <c r="R1122" s="2680" t="s">
        <v>5248</v>
      </c>
    </row>
    <row r="1123" spans="4:19" ht="18">
      <c r="I1123" s="2774" t="s">
        <v>4269</v>
      </c>
      <c r="J1123" s="2775" t="s">
        <v>5242</v>
      </c>
      <c r="K1123" s="2776"/>
      <c r="L1123" s="2777">
        <v>25</v>
      </c>
      <c r="M1123" s="2778">
        <v>8</v>
      </c>
      <c r="N1123" s="2777">
        <f>+M1123*2</f>
        <v>16</v>
      </c>
      <c r="O1123" s="2779">
        <f t="shared" ref="O1123:O1140" si="6">+N1123+L1123</f>
        <v>41</v>
      </c>
      <c r="P1123" s="2780">
        <f>IF(O1123&gt;25,150,(26-O1123)*6)</f>
        <v>150</v>
      </c>
      <c r="Q1123" s="2765">
        <f>(O1123*14+P1123)*(0.87)+P1123</f>
        <v>779.88</v>
      </c>
      <c r="R1123" s="492">
        <v>673.69</v>
      </c>
      <c r="S1123" s="2863">
        <f>+R1123-720</f>
        <v>-46.309999999999945</v>
      </c>
    </row>
    <row r="1124" spans="4:19" ht="18">
      <c r="I1124" s="2774" t="s">
        <v>5217</v>
      </c>
      <c r="J1124" s="2775" t="s">
        <v>5218</v>
      </c>
      <c r="K1124" s="2776"/>
      <c r="L1124" s="2777">
        <v>16</v>
      </c>
      <c r="M1124" s="2778">
        <v>4</v>
      </c>
      <c r="N1124" s="2777">
        <f t="shared" ref="N1124:N1140" si="7">+M1124*2</f>
        <v>8</v>
      </c>
      <c r="O1124" s="2779">
        <f t="shared" si="6"/>
        <v>24</v>
      </c>
      <c r="P1124" s="2780">
        <f>IF(O1124&gt;25,150,(O1124)*6)</f>
        <v>144</v>
      </c>
      <c r="Q1124" s="2765">
        <f t="shared" ref="Q1124:Q1140" si="8">(O1124*14+P1124)*(0.87)</f>
        <v>417.6</v>
      </c>
      <c r="R1124" s="492">
        <v>406</v>
      </c>
      <c r="S1124" s="2863">
        <f t="shared" ref="S1124:S1140" si="9">+R1124-720</f>
        <v>-314</v>
      </c>
    </row>
    <row r="1125" spans="4:19" ht="18">
      <c r="I1125" s="2774" t="s">
        <v>416</v>
      </c>
      <c r="J1125" s="2775" t="s">
        <v>5219</v>
      </c>
      <c r="K1125" s="2776"/>
      <c r="L1125" s="2777">
        <v>24</v>
      </c>
      <c r="M1125" s="2778">
        <v>4</v>
      </c>
      <c r="N1125" s="2777">
        <f t="shared" si="7"/>
        <v>8</v>
      </c>
      <c r="O1125" s="2779">
        <f t="shared" si="6"/>
        <v>32</v>
      </c>
      <c r="P1125" s="2780">
        <f t="shared" ref="P1125:P1140" si="10">IF(O1125&gt;25,150,(O1125)*6)</f>
        <v>150</v>
      </c>
      <c r="Q1125" s="2765">
        <f t="shared" si="8"/>
        <v>520.26</v>
      </c>
      <c r="R1125" s="2784">
        <v>538.72</v>
      </c>
      <c r="S1125" s="2863">
        <f t="shared" si="9"/>
        <v>-181.27999999999997</v>
      </c>
    </row>
    <row r="1126" spans="4:19" ht="18">
      <c r="I1126" s="2774" t="s">
        <v>5128</v>
      </c>
      <c r="J1126" s="2775" t="s">
        <v>5220</v>
      </c>
      <c r="K1126" s="2776"/>
      <c r="L1126" s="2777">
        <v>22</v>
      </c>
      <c r="M1126" s="2778">
        <v>4</v>
      </c>
      <c r="N1126" s="2777">
        <f t="shared" si="7"/>
        <v>8</v>
      </c>
      <c r="O1126" s="2779">
        <f t="shared" si="6"/>
        <v>30</v>
      </c>
      <c r="P1126" s="2780">
        <f t="shared" si="10"/>
        <v>150</v>
      </c>
      <c r="Q1126" s="2765">
        <f t="shared" si="8"/>
        <v>495.9</v>
      </c>
      <c r="R1126" s="492">
        <v>492.42</v>
      </c>
      <c r="S1126" s="2863">
        <f t="shared" si="9"/>
        <v>-227.57999999999998</v>
      </c>
    </row>
    <row r="1127" spans="4:19" ht="18">
      <c r="I1127" s="2774" t="s">
        <v>5118</v>
      </c>
      <c r="J1127" s="2775" t="s">
        <v>5221</v>
      </c>
      <c r="K1127" s="2776"/>
      <c r="L1127" s="2777">
        <v>22</v>
      </c>
      <c r="M1127" s="2778"/>
      <c r="N1127" s="2777">
        <f t="shared" si="7"/>
        <v>0</v>
      </c>
      <c r="O1127" s="2779">
        <f t="shared" si="6"/>
        <v>22</v>
      </c>
      <c r="P1127" s="2780">
        <f t="shared" si="10"/>
        <v>132</v>
      </c>
      <c r="Q1127" s="2765">
        <f t="shared" si="8"/>
        <v>382.8</v>
      </c>
      <c r="R1127" s="492">
        <v>394.98</v>
      </c>
      <c r="S1127" s="2863">
        <f t="shared" si="9"/>
        <v>-325.02</v>
      </c>
    </row>
    <row r="1128" spans="4:19" ht="18">
      <c r="I1128" s="2774" t="s">
        <v>5222</v>
      </c>
      <c r="J1128" s="2775" t="s">
        <v>5223</v>
      </c>
      <c r="K1128" s="2776"/>
      <c r="L1128" s="2777">
        <v>29</v>
      </c>
      <c r="M1128" s="2778">
        <v>4</v>
      </c>
      <c r="N1128" s="2777">
        <f t="shared" si="7"/>
        <v>8</v>
      </c>
      <c r="O1128" s="2779">
        <f t="shared" si="6"/>
        <v>37</v>
      </c>
      <c r="P1128" s="2780">
        <f t="shared" si="10"/>
        <v>150</v>
      </c>
      <c r="Q1128" s="2765">
        <f t="shared" si="8"/>
        <v>581.16</v>
      </c>
      <c r="R1128" s="492">
        <v>603.78</v>
      </c>
      <c r="S1128" s="2863">
        <f t="shared" si="9"/>
        <v>-116.22000000000003</v>
      </c>
    </row>
    <row r="1129" spans="4:19" ht="18">
      <c r="I1129" s="2774" t="s">
        <v>5193</v>
      </c>
      <c r="J1129" s="2775" t="s">
        <v>5224</v>
      </c>
      <c r="K1129" s="2776"/>
      <c r="L1129" s="2777">
        <v>17</v>
      </c>
      <c r="M1129" s="2778">
        <v>5</v>
      </c>
      <c r="N1129" s="2777">
        <f t="shared" si="7"/>
        <v>10</v>
      </c>
      <c r="O1129" s="2779">
        <f t="shared" si="6"/>
        <v>27</v>
      </c>
      <c r="P1129" s="2780">
        <f t="shared" si="10"/>
        <v>150</v>
      </c>
      <c r="Q1129" s="2765">
        <f t="shared" si="8"/>
        <v>459.36</v>
      </c>
      <c r="R1129" s="2784">
        <v>448</v>
      </c>
      <c r="S1129" s="2863">
        <f t="shared" si="9"/>
        <v>-272</v>
      </c>
    </row>
    <row r="1130" spans="4:19" ht="18">
      <c r="I1130" s="2774" t="s">
        <v>799</v>
      </c>
      <c r="J1130" s="2775" t="s">
        <v>5225</v>
      </c>
      <c r="K1130" s="2776"/>
      <c r="L1130" s="2777">
        <v>21</v>
      </c>
      <c r="M1130" s="2778">
        <v>1</v>
      </c>
      <c r="N1130" s="2777">
        <f t="shared" si="7"/>
        <v>2</v>
      </c>
      <c r="O1130" s="2779">
        <f t="shared" si="6"/>
        <v>23</v>
      </c>
      <c r="P1130" s="2780">
        <f t="shared" si="10"/>
        <v>138</v>
      </c>
      <c r="Q1130" s="2765">
        <f t="shared" si="8"/>
        <v>400.2</v>
      </c>
      <c r="R1130" s="492">
        <v>394.98</v>
      </c>
      <c r="S1130" s="2863">
        <f t="shared" si="9"/>
        <v>-325.02</v>
      </c>
    </row>
    <row r="1131" spans="4:19" s="2787" customFormat="1" ht="18">
      <c r="D1131" s="2786"/>
      <c r="F1131" s="2788"/>
      <c r="I1131" s="2789" t="s">
        <v>793</v>
      </c>
      <c r="J1131" s="2790" t="s">
        <v>5226</v>
      </c>
      <c r="K1131" s="2791"/>
      <c r="L1131" s="2792">
        <v>27</v>
      </c>
      <c r="M1131" s="2793">
        <v>7</v>
      </c>
      <c r="N1131" s="2792">
        <f t="shared" si="7"/>
        <v>14</v>
      </c>
      <c r="O1131" s="2794">
        <f t="shared" si="6"/>
        <v>41</v>
      </c>
      <c r="P1131" s="2795">
        <f t="shared" si="10"/>
        <v>150</v>
      </c>
      <c r="Q1131" s="2796">
        <f t="shared" si="8"/>
        <v>629.88</v>
      </c>
      <c r="R1131" s="2797">
        <v>674.07</v>
      </c>
      <c r="S1131" s="2864">
        <f t="shared" si="9"/>
        <v>-45.92999999999995</v>
      </c>
    </row>
    <row r="1132" spans="4:19" ht="18">
      <c r="I1132" s="2774" t="s">
        <v>5227</v>
      </c>
      <c r="J1132" s="2775" t="s">
        <v>5228</v>
      </c>
      <c r="K1132" s="2776"/>
      <c r="L1132" s="2777">
        <v>17</v>
      </c>
      <c r="M1132" s="2778">
        <v>5</v>
      </c>
      <c r="N1132" s="2777">
        <f t="shared" si="7"/>
        <v>10</v>
      </c>
      <c r="O1132" s="2779">
        <f t="shared" si="6"/>
        <v>27</v>
      </c>
      <c r="P1132" s="2780">
        <f t="shared" si="10"/>
        <v>150</v>
      </c>
      <c r="Q1132" s="2765">
        <f t="shared" si="8"/>
        <v>459.36</v>
      </c>
      <c r="R1132" s="492">
        <v>450.66</v>
      </c>
      <c r="S1132" s="2863">
        <f t="shared" si="9"/>
        <v>-269.33999999999997</v>
      </c>
    </row>
    <row r="1133" spans="4:19" ht="18">
      <c r="I1133" s="2774" t="s">
        <v>5100</v>
      </c>
      <c r="J1133" s="2775" t="s">
        <v>5229</v>
      </c>
      <c r="K1133" s="2776"/>
      <c r="L1133" s="2777">
        <v>3</v>
      </c>
      <c r="M1133" s="2778">
        <v>7</v>
      </c>
      <c r="N1133" s="2777">
        <f t="shared" si="7"/>
        <v>14</v>
      </c>
      <c r="O1133" s="2779">
        <f t="shared" si="6"/>
        <v>17</v>
      </c>
      <c r="P1133" s="2780">
        <f t="shared" si="10"/>
        <v>102</v>
      </c>
      <c r="Q1133" s="2765">
        <f t="shared" si="8"/>
        <v>295.8</v>
      </c>
      <c r="R1133" s="492">
        <v>239.77</v>
      </c>
      <c r="S1133" s="2863">
        <f t="shared" si="9"/>
        <v>-480.23</v>
      </c>
    </row>
    <row r="1134" spans="4:19" ht="18">
      <c r="I1134" s="2774" t="s">
        <v>5230</v>
      </c>
      <c r="J1134" s="2775" t="s">
        <v>5231</v>
      </c>
      <c r="K1134" s="2776"/>
      <c r="L1134" s="2777">
        <v>29</v>
      </c>
      <c r="M1134" s="2778">
        <v>6</v>
      </c>
      <c r="N1134" s="2777">
        <f t="shared" si="7"/>
        <v>12</v>
      </c>
      <c r="O1134" s="2779">
        <f t="shared" si="6"/>
        <v>41</v>
      </c>
      <c r="P1134" s="2780">
        <f t="shared" si="10"/>
        <v>150</v>
      </c>
      <c r="Q1134" s="2765">
        <f t="shared" si="8"/>
        <v>629.88</v>
      </c>
      <c r="R1134" s="492">
        <v>673.38</v>
      </c>
      <c r="S1134" s="2863">
        <f t="shared" si="9"/>
        <v>-46.620000000000005</v>
      </c>
    </row>
    <row r="1135" spans="4:19" ht="18">
      <c r="I1135" s="2774" t="s">
        <v>5232</v>
      </c>
      <c r="J1135" s="2775" t="s">
        <v>5233</v>
      </c>
      <c r="K1135" s="2776"/>
      <c r="L1135" s="2777">
        <v>30</v>
      </c>
      <c r="M1135" s="2778">
        <v>6</v>
      </c>
      <c r="N1135" s="2777">
        <f t="shared" si="7"/>
        <v>12</v>
      </c>
      <c r="O1135" s="2779">
        <f t="shared" si="6"/>
        <v>42</v>
      </c>
      <c r="P1135" s="2780">
        <f t="shared" si="10"/>
        <v>150</v>
      </c>
      <c r="Q1135" s="2765">
        <f t="shared" si="8"/>
        <v>642.05999999999995</v>
      </c>
      <c r="R1135" s="492">
        <v>673.38</v>
      </c>
      <c r="S1135" s="2863">
        <f t="shared" si="9"/>
        <v>-46.620000000000005</v>
      </c>
    </row>
    <row r="1136" spans="4:19" ht="18">
      <c r="I1136" s="2774" t="s">
        <v>5121</v>
      </c>
      <c r="J1136" s="2775" t="s">
        <v>5234</v>
      </c>
      <c r="K1136" s="2776"/>
      <c r="L1136" s="2777">
        <v>25</v>
      </c>
      <c r="M1136" s="2778">
        <v>7</v>
      </c>
      <c r="N1136" s="2777">
        <f t="shared" si="7"/>
        <v>14</v>
      </c>
      <c r="O1136" s="2779">
        <f t="shared" si="6"/>
        <v>39</v>
      </c>
      <c r="P1136" s="2780">
        <f t="shared" si="10"/>
        <v>150</v>
      </c>
      <c r="Q1136" s="2765">
        <f t="shared" si="8"/>
        <v>605.52</v>
      </c>
      <c r="R1136" s="492">
        <v>645.84</v>
      </c>
      <c r="S1136" s="2863">
        <f t="shared" si="9"/>
        <v>-74.159999999999968</v>
      </c>
    </row>
    <row r="1137" spans="4:19" ht="18">
      <c r="I1137" s="2774" t="s">
        <v>5235</v>
      </c>
      <c r="J1137" s="2775" t="s">
        <v>5236</v>
      </c>
      <c r="K1137" s="2776"/>
      <c r="L1137" s="2777">
        <v>21</v>
      </c>
      <c r="M1137" s="2778">
        <v>5</v>
      </c>
      <c r="N1137" s="2777">
        <f t="shared" si="7"/>
        <v>10</v>
      </c>
      <c r="O1137" s="2779">
        <f t="shared" si="6"/>
        <v>31</v>
      </c>
      <c r="P1137" s="2780">
        <f t="shared" si="10"/>
        <v>150</v>
      </c>
      <c r="Q1137" s="2765">
        <f t="shared" si="8"/>
        <v>508.08</v>
      </c>
      <c r="R1137" s="492">
        <v>520.26</v>
      </c>
      <c r="S1137" s="2863">
        <f t="shared" si="9"/>
        <v>-199.74</v>
      </c>
    </row>
    <row r="1138" spans="4:19" ht="18">
      <c r="I1138" s="2774" t="s">
        <v>5237</v>
      </c>
      <c r="J1138" s="2775" t="s">
        <v>5238</v>
      </c>
      <c r="K1138" s="2776"/>
      <c r="L1138" s="2777">
        <v>19</v>
      </c>
      <c r="M1138" s="2778">
        <v>6</v>
      </c>
      <c r="N1138" s="2777">
        <f t="shared" si="7"/>
        <v>12</v>
      </c>
      <c r="O1138" s="2779">
        <f t="shared" si="6"/>
        <v>31</v>
      </c>
      <c r="P1138" s="2780">
        <f t="shared" si="10"/>
        <v>150</v>
      </c>
      <c r="Q1138" s="2765">
        <f t="shared" si="8"/>
        <v>508.08</v>
      </c>
      <c r="R1138" s="492">
        <v>533.87</v>
      </c>
      <c r="S1138" s="2863">
        <f t="shared" si="9"/>
        <v>-186.13</v>
      </c>
    </row>
    <row r="1139" spans="4:19" ht="18">
      <c r="I1139" s="2774" t="s">
        <v>5101</v>
      </c>
      <c r="J1139" s="2775" t="s">
        <v>5239</v>
      </c>
      <c r="K1139" s="2776"/>
      <c r="L1139" s="2777">
        <v>2</v>
      </c>
      <c r="M1139" s="2778"/>
      <c r="N1139" s="2777">
        <f t="shared" si="7"/>
        <v>0</v>
      </c>
      <c r="O1139" s="2779">
        <f t="shared" si="6"/>
        <v>2</v>
      </c>
      <c r="P1139" s="2780">
        <f t="shared" si="10"/>
        <v>12</v>
      </c>
      <c r="Q1139" s="2765">
        <f t="shared" si="8"/>
        <v>34.799999999999997</v>
      </c>
      <c r="R1139" s="492">
        <v>29.3</v>
      </c>
      <c r="S1139" s="2863">
        <f t="shared" si="9"/>
        <v>-690.7</v>
      </c>
    </row>
    <row r="1140" spans="4:19" ht="18">
      <c r="I1140" s="2774" t="s">
        <v>5103</v>
      </c>
      <c r="J1140" s="2775" t="s">
        <v>5240</v>
      </c>
      <c r="K1140" s="2776"/>
      <c r="L1140" s="2777">
        <v>20</v>
      </c>
      <c r="M1140" s="2778">
        <v>7</v>
      </c>
      <c r="N1140" s="2777">
        <f t="shared" si="7"/>
        <v>14</v>
      </c>
      <c r="O1140" s="2779">
        <f t="shared" si="6"/>
        <v>34</v>
      </c>
      <c r="P1140" s="2780">
        <f t="shared" si="10"/>
        <v>150</v>
      </c>
      <c r="Q1140" s="2765">
        <f t="shared" si="8"/>
        <v>544.62</v>
      </c>
      <c r="R1140" s="492">
        <v>548.1</v>
      </c>
      <c r="S1140" s="2863">
        <f t="shared" si="9"/>
        <v>-171.89999999999998</v>
      </c>
    </row>
    <row r="1141" spans="4:19" ht="18">
      <c r="I1141" s="2396"/>
      <c r="J1141" s="2770">
        <v>43046</v>
      </c>
      <c r="K1141" s="2781"/>
      <c r="L1141" s="2781"/>
      <c r="M1141" s="2680"/>
      <c r="N1141" s="2680"/>
      <c r="O1141" s="2782"/>
      <c r="P1141" s="2396"/>
    </row>
    <row r="1142" spans="4:19" ht="18">
      <c r="I1142" s="2396"/>
      <c r="J1142" s="2396"/>
      <c r="K1142" s="2396"/>
      <c r="L1142" s="2396"/>
      <c r="M1142" s="2396"/>
      <c r="N1142" s="2783" t="s">
        <v>5241</v>
      </c>
      <c r="O1142" s="2782">
        <f>SUM(O1123:O1140)</f>
        <v>541</v>
      </c>
      <c r="P1142" s="2768">
        <f>SUM(P1123:P1140)</f>
        <v>2478</v>
      </c>
    </row>
    <row r="1143" spans="4:19" ht="18">
      <c r="D1143" s="2799"/>
      <c r="I1143" s="2396"/>
      <c r="J1143" s="2396"/>
      <c r="K1143" s="2396"/>
      <c r="L1143" s="2396"/>
      <c r="M1143" s="2396"/>
      <c r="N1143" s="2783"/>
      <c r="O1143" s="2782"/>
      <c r="P1143" s="2768"/>
    </row>
    <row r="1144" spans="4:19" ht="18">
      <c r="D1144" s="2799"/>
      <c r="I1144" s="2396"/>
      <c r="J1144" s="2396"/>
      <c r="K1144" s="2396"/>
      <c r="L1144" s="2396"/>
      <c r="M1144" s="2396"/>
      <c r="N1144" s="2783"/>
      <c r="O1144" s="2782"/>
      <c r="P1144" s="2768"/>
    </row>
    <row r="1145" spans="4:19" ht="15.75">
      <c r="D1145" s="2799"/>
      <c r="I1145" s="3840" t="s">
        <v>5256</v>
      </c>
      <c r="J1145" s="3840"/>
      <c r="K1145" s="3840"/>
      <c r="L1145" s="3840"/>
      <c r="M1145" s="3840"/>
      <c r="N1145" s="3840"/>
      <c r="O1145" s="3840"/>
      <c r="P1145" s="3840"/>
    </row>
    <row r="1146" spans="4:19" ht="15.75">
      <c r="D1146" s="2799"/>
      <c r="I1146" s="2396"/>
      <c r="J1146" s="2396"/>
      <c r="K1146" s="2771">
        <v>43045</v>
      </c>
      <c r="L1146" s="2772">
        <v>43050</v>
      </c>
      <c r="M1146" s="3841">
        <v>43051</v>
      </c>
      <c r="N1146" s="3841"/>
      <c r="O1146" s="2798"/>
      <c r="P1146" s="2766" t="s">
        <v>5244</v>
      </c>
      <c r="Q1146" s="2680" t="s">
        <v>5247</v>
      </c>
      <c r="R1146" s="2680" t="s">
        <v>5257</v>
      </c>
    </row>
    <row r="1147" spans="4:19" ht="15.75">
      <c r="I1147" t="s">
        <v>4197</v>
      </c>
      <c r="J1147" t="s">
        <v>3820</v>
      </c>
      <c r="K1147" s="2396"/>
      <c r="L1147" s="2806" t="s">
        <v>5246</v>
      </c>
      <c r="M1147" s="2805" t="s">
        <v>5123</v>
      </c>
      <c r="N1147" s="2680" t="s">
        <v>5243</v>
      </c>
      <c r="O1147" s="2798" t="s">
        <v>1492</v>
      </c>
      <c r="P1147" s="2767" t="s">
        <v>5245</v>
      </c>
      <c r="Q1147" s="2680" t="s">
        <v>5248</v>
      </c>
      <c r="R1147" s="2680" t="s">
        <v>5258</v>
      </c>
    </row>
    <row r="1148" spans="4:19" ht="15.75">
      <c r="I1148" s="2801" t="s">
        <v>4269</v>
      </c>
      <c r="J1148" s="2801" t="s">
        <v>5255</v>
      </c>
      <c r="K1148" s="2801"/>
      <c r="L1148" s="2807">
        <v>25</v>
      </c>
      <c r="M1148" s="2774">
        <v>7</v>
      </c>
      <c r="N1148" s="2803">
        <v>14</v>
      </c>
      <c r="O1148" s="2777">
        <v>39</v>
      </c>
      <c r="P1148" s="2804">
        <f>IF(O1148&gt;25,150,(26-O1148)*6)</f>
        <v>150</v>
      </c>
      <c r="Q1148" s="2809">
        <v>696</v>
      </c>
      <c r="R1148" s="492"/>
      <c r="S1148" s="2768" t="s">
        <v>5275</v>
      </c>
    </row>
    <row r="1149" spans="4:19" ht="15.75">
      <c r="I1149" s="2801" t="s">
        <v>5217</v>
      </c>
      <c r="J1149" s="2801" t="s">
        <v>5218</v>
      </c>
      <c r="K1149" s="2801"/>
      <c r="L1149" s="2807">
        <v>17</v>
      </c>
      <c r="M1149" s="2774">
        <v>5</v>
      </c>
      <c r="N1149" s="2803">
        <v>10</v>
      </c>
      <c r="O1149" s="2777">
        <f t="shared" ref="O1149:O1166" si="11">+N1149+L1149</f>
        <v>27</v>
      </c>
      <c r="P1149" s="2804">
        <f>IF(O1149&gt;25,150,(O1149)*6)</f>
        <v>150</v>
      </c>
      <c r="Q1149" s="492">
        <v>465.62</v>
      </c>
      <c r="R1149" s="492">
        <f t="shared" ref="R1149:R1174" si="12">IF(Q1149&gt;720,Q1149-720,0)</f>
        <v>0</v>
      </c>
      <c r="S1149" s="2808" t="s">
        <v>5271</v>
      </c>
    </row>
    <row r="1150" spans="4:19" ht="15.75">
      <c r="I1150" s="2801" t="s">
        <v>416</v>
      </c>
      <c r="J1150" s="2801" t="s">
        <v>5219</v>
      </c>
      <c r="K1150" s="2801"/>
      <c r="L1150" s="2807">
        <v>15</v>
      </c>
      <c r="M1150" s="2774">
        <v>6</v>
      </c>
      <c r="N1150" s="2803">
        <v>12</v>
      </c>
      <c r="O1150" s="2777">
        <f t="shared" si="11"/>
        <v>27</v>
      </c>
      <c r="P1150" s="2804">
        <f t="shared" ref="P1150:P1166" si="13">IF(O1150&gt;25,150,(O1150)*6)</f>
        <v>150</v>
      </c>
      <c r="Q1150" s="492">
        <v>469.58</v>
      </c>
      <c r="R1150" s="492">
        <f t="shared" si="12"/>
        <v>0</v>
      </c>
      <c r="S1150" s="2808" t="s">
        <v>2920</v>
      </c>
    </row>
    <row r="1151" spans="4:19" ht="15.75">
      <c r="I1151" s="2801" t="s">
        <v>5128</v>
      </c>
      <c r="J1151" s="2801" t="s">
        <v>5220</v>
      </c>
      <c r="K1151" s="2801"/>
      <c r="L1151" s="2807">
        <v>16</v>
      </c>
      <c r="M1151" s="2774">
        <v>8</v>
      </c>
      <c r="N1151" s="2803">
        <v>16</v>
      </c>
      <c r="O1151" s="2777">
        <f t="shared" si="11"/>
        <v>32</v>
      </c>
      <c r="P1151" s="2804">
        <f t="shared" si="13"/>
        <v>150</v>
      </c>
      <c r="Q1151" s="492">
        <v>526.52</v>
      </c>
      <c r="R1151" s="492">
        <f t="shared" si="12"/>
        <v>0</v>
      </c>
      <c r="S1151" s="2808" t="s">
        <v>4853</v>
      </c>
    </row>
    <row r="1152" spans="4:19" ht="15.75">
      <c r="I1152" s="2801" t="s">
        <v>5194</v>
      </c>
      <c r="J1152" s="2801" t="s">
        <v>5251</v>
      </c>
      <c r="K1152" s="2801"/>
      <c r="L1152" s="2807">
        <v>14</v>
      </c>
      <c r="M1152" s="2774">
        <v>8</v>
      </c>
      <c r="N1152" s="2803">
        <v>16</v>
      </c>
      <c r="O1152" s="2777">
        <f t="shared" si="11"/>
        <v>30</v>
      </c>
      <c r="P1152" s="2804">
        <f t="shared" si="13"/>
        <v>150</v>
      </c>
      <c r="Q1152" s="492">
        <v>554.86</v>
      </c>
      <c r="R1152" s="492">
        <f t="shared" si="12"/>
        <v>0</v>
      </c>
      <c r="S1152" s="2808" t="s">
        <v>5262</v>
      </c>
    </row>
    <row r="1153" spans="9:19" ht="15.75">
      <c r="I1153" s="2801" t="s">
        <v>5222</v>
      </c>
      <c r="J1153" s="2801" t="s">
        <v>5223</v>
      </c>
      <c r="K1153" s="2801"/>
      <c r="L1153" s="2807">
        <v>24</v>
      </c>
      <c r="M1153" s="2774">
        <v>3</v>
      </c>
      <c r="N1153" s="2803">
        <v>6</v>
      </c>
      <c r="O1153" s="2777">
        <f t="shared" si="11"/>
        <v>30</v>
      </c>
      <c r="P1153" s="2804">
        <f t="shared" si="13"/>
        <v>150</v>
      </c>
      <c r="Q1153" s="492">
        <v>502.16</v>
      </c>
      <c r="R1153" s="492">
        <f t="shared" si="12"/>
        <v>0</v>
      </c>
      <c r="S1153" s="2808" t="s">
        <v>5269</v>
      </c>
    </row>
    <row r="1154" spans="9:19" ht="15.75">
      <c r="I1154" s="2801" t="s">
        <v>5193</v>
      </c>
      <c r="J1154" s="2801" t="s">
        <v>5224</v>
      </c>
      <c r="K1154" s="2801"/>
      <c r="L1154" s="2807">
        <v>17</v>
      </c>
      <c r="M1154" s="2774">
        <v>6</v>
      </c>
      <c r="N1154" s="2803">
        <v>12</v>
      </c>
      <c r="O1154" s="2777">
        <f t="shared" si="11"/>
        <v>29</v>
      </c>
      <c r="P1154" s="2804">
        <f t="shared" si="13"/>
        <v>150</v>
      </c>
      <c r="Q1154" s="492">
        <v>493.19</v>
      </c>
      <c r="R1154" s="492">
        <f t="shared" si="12"/>
        <v>0</v>
      </c>
      <c r="S1154" s="2808" t="s">
        <v>5268</v>
      </c>
    </row>
    <row r="1155" spans="9:19" ht="15.75">
      <c r="I1155" s="2801" t="s">
        <v>799</v>
      </c>
      <c r="J1155" s="2801" t="s">
        <v>5225</v>
      </c>
      <c r="K1155" s="2801"/>
      <c r="L1155" s="2807">
        <v>7</v>
      </c>
      <c r="M1155" s="2774"/>
      <c r="N1155" s="2803">
        <v>0</v>
      </c>
      <c r="O1155" s="2777">
        <f t="shared" si="11"/>
        <v>7</v>
      </c>
      <c r="P1155" s="2804">
        <f t="shared" si="13"/>
        <v>42</v>
      </c>
      <c r="Q1155" s="492">
        <v>122.84</v>
      </c>
      <c r="R1155" s="492">
        <f t="shared" si="12"/>
        <v>0</v>
      </c>
      <c r="S1155" s="2808" t="s">
        <v>4841</v>
      </c>
    </row>
    <row r="1156" spans="9:19" ht="15.75">
      <c r="I1156" s="2801" t="s">
        <v>793</v>
      </c>
      <c r="J1156" s="2801" t="s">
        <v>5226</v>
      </c>
      <c r="K1156" s="2801"/>
      <c r="L1156" s="2807">
        <v>23</v>
      </c>
      <c r="M1156" s="2774">
        <v>7</v>
      </c>
      <c r="N1156" s="2803">
        <v>14</v>
      </c>
      <c r="O1156" s="2777">
        <f t="shared" si="11"/>
        <v>37</v>
      </c>
      <c r="P1156" s="2804">
        <f t="shared" si="13"/>
        <v>150</v>
      </c>
      <c r="Q1156" s="492">
        <v>588.03</v>
      </c>
      <c r="R1156" s="492">
        <f t="shared" si="12"/>
        <v>0</v>
      </c>
      <c r="S1156" s="2808" t="s">
        <v>5270</v>
      </c>
    </row>
    <row r="1157" spans="9:19" ht="15.75">
      <c r="I1157" s="2801" t="s">
        <v>5227</v>
      </c>
      <c r="J1157" s="2801" t="s">
        <v>5228</v>
      </c>
      <c r="K1157" s="2801"/>
      <c r="L1157" s="2807">
        <v>12</v>
      </c>
      <c r="M1157" s="2774"/>
      <c r="N1157" s="2803">
        <v>0</v>
      </c>
      <c r="O1157" s="2777">
        <f t="shared" si="11"/>
        <v>12</v>
      </c>
      <c r="P1157" s="2804">
        <f t="shared" si="13"/>
        <v>72</v>
      </c>
      <c r="Q1157" s="492">
        <v>214.02</v>
      </c>
      <c r="R1157" s="492">
        <f t="shared" si="12"/>
        <v>0</v>
      </c>
      <c r="S1157" s="2808" t="s">
        <v>5263</v>
      </c>
    </row>
    <row r="1158" spans="9:19" ht="15.75">
      <c r="I1158" s="2801" t="s">
        <v>5100</v>
      </c>
      <c r="J1158" s="2801" t="s">
        <v>5229</v>
      </c>
      <c r="K1158" s="2801"/>
      <c r="L1158" s="2807">
        <v>21</v>
      </c>
      <c r="M1158" s="2774">
        <v>6</v>
      </c>
      <c r="N1158" s="2803">
        <v>12</v>
      </c>
      <c r="O1158" s="2777">
        <f t="shared" si="11"/>
        <v>33</v>
      </c>
      <c r="P1158" s="2804">
        <f t="shared" si="13"/>
        <v>150</v>
      </c>
      <c r="Q1158" s="492">
        <v>538.70000000000005</v>
      </c>
      <c r="R1158" s="492">
        <f t="shared" si="12"/>
        <v>0</v>
      </c>
      <c r="S1158" s="2808" t="s">
        <v>5266</v>
      </c>
    </row>
    <row r="1159" spans="9:19" ht="15.75">
      <c r="I1159" s="2801" t="s">
        <v>5230</v>
      </c>
      <c r="J1159" s="2801" t="s">
        <v>5231</v>
      </c>
      <c r="K1159" s="2801"/>
      <c r="L1159" s="2807">
        <v>23</v>
      </c>
      <c r="M1159" s="2774">
        <v>6</v>
      </c>
      <c r="N1159" s="2803">
        <v>12</v>
      </c>
      <c r="O1159" s="2777">
        <f t="shared" si="11"/>
        <v>35</v>
      </c>
      <c r="P1159" s="2804">
        <f t="shared" si="13"/>
        <v>150</v>
      </c>
      <c r="Q1159" s="492">
        <v>563.05999999999995</v>
      </c>
      <c r="R1159" s="492">
        <f t="shared" si="12"/>
        <v>0</v>
      </c>
      <c r="S1159" s="2808" t="s">
        <v>5267</v>
      </c>
    </row>
    <row r="1160" spans="9:19" ht="15.75">
      <c r="I1160" s="2801" t="s">
        <v>5232</v>
      </c>
      <c r="J1160" s="2801" t="s">
        <v>5233</v>
      </c>
      <c r="K1160" s="2801"/>
      <c r="L1160" s="2807">
        <v>21</v>
      </c>
      <c r="M1160" s="2774">
        <v>8</v>
      </c>
      <c r="N1160" s="2803">
        <v>16</v>
      </c>
      <c r="O1160" s="2777">
        <f t="shared" si="11"/>
        <v>37</v>
      </c>
      <c r="P1160" s="2804">
        <f t="shared" si="13"/>
        <v>150</v>
      </c>
      <c r="Q1160" s="2809">
        <v>668</v>
      </c>
      <c r="R1160" s="492">
        <f t="shared" si="12"/>
        <v>0</v>
      </c>
      <c r="S1160" s="2810" t="s">
        <v>5275</v>
      </c>
    </row>
    <row r="1161" spans="9:19" ht="15.75">
      <c r="I1161" s="2801" t="s">
        <v>5121</v>
      </c>
      <c r="J1161" s="2801" t="s">
        <v>5234</v>
      </c>
      <c r="K1161" s="2801"/>
      <c r="L1161" s="2807">
        <v>21</v>
      </c>
      <c r="M1161" s="2774">
        <v>5</v>
      </c>
      <c r="N1161" s="2803">
        <v>10</v>
      </c>
      <c r="O1161" s="2777">
        <f t="shared" si="11"/>
        <v>31</v>
      </c>
      <c r="P1161" s="2804">
        <f t="shared" si="13"/>
        <v>150</v>
      </c>
      <c r="Q1161" s="492">
        <v>514.58000000000004</v>
      </c>
      <c r="R1161" s="492">
        <f t="shared" si="12"/>
        <v>0</v>
      </c>
      <c r="S1161" s="2808" t="s">
        <v>5261</v>
      </c>
    </row>
    <row r="1162" spans="9:19" ht="15.75">
      <c r="I1162" s="2801" t="s">
        <v>5235</v>
      </c>
      <c r="J1162" s="2801" t="s">
        <v>5236</v>
      </c>
      <c r="K1162" s="2801"/>
      <c r="L1162" s="2807">
        <v>7</v>
      </c>
      <c r="M1162" s="2774"/>
      <c r="N1162" s="2803">
        <v>0</v>
      </c>
      <c r="O1162" s="2777">
        <f t="shared" si="11"/>
        <v>7</v>
      </c>
      <c r="P1162" s="2804">
        <f t="shared" si="13"/>
        <v>42</v>
      </c>
      <c r="Q1162" s="492">
        <v>123.89</v>
      </c>
      <c r="R1162" s="492">
        <f t="shared" si="12"/>
        <v>0</v>
      </c>
      <c r="S1162" s="2808" t="s">
        <v>5264</v>
      </c>
    </row>
    <row r="1163" spans="9:19" ht="15.75">
      <c r="I1163" s="2801" t="s">
        <v>5237</v>
      </c>
      <c r="J1163" s="2801" t="s">
        <v>5238</v>
      </c>
      <c r="K1163" s="2801"/>
      <c r="L1163" s="2807">
        <v>20</v>
      </c>
      <c r="M1163" s="2774">
        <v>6</v>
      </c>
      <c r="N1163" s="2803">
        <v>12</v>
      </c>
      <c r="O1163" s="2777">
        <f t="shared" si="11"/>
        <v>32</v>
      </c>
      <c r="P1163" s="2804">
        <f t="shared" si="13"/>
        <v>150</v>
      </c>
      <c r="Q1163" s="492">
        <v>526.22</v>
      </c>
      <c r="R1163" s="492">
        <f t="shared" si="12"/>
        <v>0</v>
      </c>
      <c r="S1163" s="2808" t="s">
        <v>3154</v>
      </c>
    </row>
    <row r="1164" spans="9:19" ht="15.75">
      <c r="I1164" s="2801" t="s">
        <v>5252</v>
      </c>
      <c r="J1164" s="2801" t="s">
        <v>5253</v>
      </c>
      <c r="K1164" s="2801"/>
      <c r="L1164" s="2807">
        <v>2</v>
      </c>
      <c r="M1164" s="2774">
        <v>2</v>
      </c>
      <c r="N1164" s="2803">
        <v>4</v>
      </c>
      <c r="O1164" s="2777">
        <f t="shared" si="11"/>
        <v>6</v>
      </c>
      <c r="P1164" s="2804">
        <f t="shared" si="13"/>
        <v>36</v>
      </c>
      <c r="Q1164" s="2809">
        <v>360</v>
      </c>
      <c r="R1164" s="492">
        <f t="shared" si="12"/>
        <v>0</v>
      </c>
      <c r="S1164" s="2810" t="s">
        <v>5276</v>
      </c>
    </row>
    <row r="1165" spans="9:19" ht="15.75">
      <c r="I1165" s="2801" t="s">
        <v>5103</v>
      </c>
      <c r="J1165" s="2801" t="s">
        <v>5240</v>
      </c>
      <c r="K1165" s="2801"/>
      <c r="L1165" s="2807">
        <v>19</v>
      </c>
      <c r="M1165" s="2774">
        <v>5</v>
      </c>
      <c r="N1165" s="2803">
        <v>10</v>
      </c>
      <c r="O1165" s="2777">
        <f t="shared" si="11"/>
        <v>29</v>
      </c>
      <c r="P1165" s="2804">
        <f t="shared" si="13"/>
        <v>150</v>
      </c>
      <c r="Q1165" s="492">
        <v>489.98</v>
      </c>
      <c r="R1165" s="492">
        <f t="shared" si="12"/>
        <v>0</v>
      </c>
      <c r="S1165" s="2808" t="s">
        <v>5260</v>
      </c>
    </row>
    <row r="1166" spans="9:19" ht="15.75">
      <c r="I1166" s="2801" t="s">
        <v>706</v>
      </c>
      <c r="J1166" s="2801" t="s">
        <v>5254</v>
      </c>
      <c r="K1166" s="2801"/>
      <c r="L1166" s="2807"/>
      <c r="M1166" s="2774">
        <v>7</v>
      </c>
      <c r="N1166" s="2803">
        <v>14</v>
      </c>
      <c r="O1166" s="2777">
        <f t="shared" si="11"/>
        <v>14</v>
      </c>
      <c r="P1166" s="2804">
        <f t="shared" si="13"/>
        <v>84</v>
      </c>
      <c r="Q1166" s="492">
        <v>589.77</v>
      </c>
      <c r="R1166" s="492">
        <f t="shared" si="12"/>
        <v>0</v>
      </c>
      <c r="S1166" s="2808" t="s">
        <v>4183</v>
      </c>
    </row>
    <row r="1167" spans="9:19" ht="14.25">
      <c r="L1167" s="2800"/>
      <c r="M1167" s="2800"/>
      <c r="N1167" s="2800"/>
      <c r="Q1167" s="492"/>
      <c r="R1167" s="492"/>
    </row>
    <row r="1168" spans="9:19" ht="15.75">
      <c r="L1168" s="2800">
        <f>SUM(L1148:L1166)</f>
        <v>304</v>
      </c>
      <c r="M1168" s="2800">
        <f>SUM(M1148:M1166)</f>
        <v>95</v>
      </c>
      <c r="N1168" s="2800">
        <f>SUM(N1148:N1166)</f>
        <v>190</v>
      </c>
      <c r="O1168" s="2802">
        <f>SUM(O1148:O1166)</f>
        <v>494</v>
      </c>
      <c r="P1168" s="2818">
        <f>SUM(P1148:P1166)</f>
        <v>2376</v>
      </c>
      <c r="Q1168" s="492"/>
      <c r="R1168" s="492"/>
    </row>
    <row r="1169" spans="4:20">
      <c r="Q1169" s="2809">
        <v>360</v>
      </c>
      <c r="R1169" s="492"/>
      <c r="S1169" s="2810" t="s">
        <v>5277</v>
      </c>
    </row>
    <row r="1170" spans="4:20">
      <c r="Q1170" s="492">
        <v>378.27</v>
      </c>
      <c r="R1170" s="492">
        <f t="shared" si="12"/>
        <v>0</v>
      </c>
      <c r="S1170" s="2808" t="s">
        <v>5259</v>
      </c>
    </row>
    <row r="1171" spans="4:20">
      <c r="J1171">
        <v>19700</v>
      </c>
      <c r="Q1171" s="492">
        <v>142.4</v>
      </c>
      <c r="R1171" s="492">
        <f t="shared" si="12"/>
        <v>0</v>
      </c>
      <c r="S1171" s="2808" t="s">
        <v>5265</v>
      </c>
    </row>
    <row r="1172" spans="4:20">
      <c r="Q1172" s="492">
        <v>179.68</v>
      </c>
      <c r="R1172" s="492">
        <f t="shared" si="12"/>
        <v>0</v>
      </c>
      <c r="S1172" s="2808" t="s">
        <v>5272</v>
      </c>
    </row>
    <row r="1173" spans="4:20">
      <c r="Q1173" s="492">
        <v>360.87</v>
      </c>
      <c r="R1173" s="492">
        <f t="shared" si="12"/>
        <v>0</v>
      </c>
      <c r="S1173" s="2808" t="s">
        <v>5273</v>
      </c>
    </row>
    <row r="1174" spans="4:20">
      <c r="Q1174" s="492">
        <v>295.49</v>
      </c>
      <c r="R1174" s="492">
        <f t="shared" si="12"/>
        <v>0</v>
      </c>
      <c r="S1174" s="2808" t="s">
        <v>5274</v>
      </c>
    </row>
    <row r="1176" spans="4:20" ht="17.25" customHeight="1">
      <c r="D1176" s="2817"/>
      <c r="I1176" s="3830" t="s">
        <v>5292</v>
      </c>
      <c r="J1176" s="3830"/>
      <c r="K1176" s="3830"/>
      <c r="L1176" s="3830"/>
      <c r="M1176" s="3830"/>
      <c r="N1176" s="3830"/>
      <c r="O1176" s="3830"/>
      <c r="P1176" s="3830"/>
      <c r="Q1176" s="3830"/>
      <c r="R1176" s="3830"/>
    </row>
    <row r="1177" spans="4:20" ht="13.5">
      <c r="I1177" s="2821"/>
      <c r="J1177" s="2821"/>
      <c r="K1177" s="3831" t="s">
        <v>5286</v>
      </c>
      <c r="L1177" s="3832"/>
      <c r="M1177" s="3832"/>
      <c r="N1177" s="3833"/>
      <c r="O1177" s="3832" t="s">
        <v>4643</v>
      </c>
      <c r="P1177" s="3833"/>
      <c r="Q1177" s="2821"/>
      <c r="R1177" s="2821"/>
    </row>
    <row r="1178" spans="4:20" ht="40.5">
      <c r="I1178" s="2841" t="s">
        <v>1600</v>
      </c>
      <c r="J1178" s="2841" t="s">
        <v>2067</v>
      </c>
      <c r="K1178" s="2822" t="s">
        <v>5131</v>
      </c>
      <c r="L1178" s="2822" t="s">
        <v>5282</v>
      </c>
      <c r="M1178" s="2822" t="s">
        <v>5131</v>
      </c>
      <c r="N1178" s="2822" t="s">
        <v>5283</v>
      </c>
      <c r="O1178" s="2822" t="s">
        <v>5131</v>
      </c>
      <c r="P1178" s="2822" t="s">
        <v>5290</v>
      </c>
      <c r="Q1178" s="2822" t="s">
        <v>5293</v>
      </c>
      <c r="R1178" s="2842" t="s">
        <v>5294</v>
      </c>
      <c r="T1178" s="2870" t="s">
        <v>5291</v>
      </c>
    </row>
    <row r="1179" spans="4:20" ht="13.5">
      <c r="I1179" s="2823" t="s">
        <v>5281</v>
      </c>
      <c r="J1179" s="2824" t="s">
        <v>5280</v>
      </c>
      <c r="K1179" s="2825">
        <v>8</v>
      </c>
      <c r="L1179" s="2846">
        <v>0</v>
      </c>
      <c r="M1179" s="2826">
        <v>8</v>
      </c>
      <c r="N1179" s="2844">
        <f>+M1179*3</f>
        <v>24</v>
      </c>
      <c r="O1179" s="2827"/>
      <c r="P1179" s="2847"/>
      <c r="Q1179" s="2849">
        <v>10</v>
      </c>
      <c r="R1179" s="2851">
        <f>+L1179+N1179+P1179+Q1179</f>
        <v>34</v>
      </c>
      <c r="T1179" s="2871"/>
    </row>
    <row r="1180" spans="4:20" ht="13.5">
      <c r="D1180" s="2817"/>
      <c r="I1180" s="2829" t="s">
        <v>3050</v>
      </c>
      <c r="J1180" s="2830" t="s">
        <v>5095</v>
      </c>
      <c r="K1180" s="2825"/>
      <c r="L1180" s="2844">
        <v>0</v>
      </c>
      <c r="M1180" s="2826">
        <v>9</v>
      </c>
      <c r="N1180" s="2844">
        <v>0</v>
      </c>
      <c r="O1180" s="2827"/>
      <c r="P1180" s="2847"/>
      <c r="Q1180" s="2849"/>
      <c r="R1180" s="2852">
        <f t="shared" ref="R1180:R1205" si="14">+L1180+N1180+P1180+Q1180</f>
        <v>0</v>
      </c>
      <c r="T1180" s="2871"/>
    </row>
    <row r="1181" spans="4:20" ht="13.5">
      <c r="I1181" s="2829" t="s">
        <v>706</v>
      </c>
      <c r="J1181" s="2828" t="s">
        <v>5254</v>
      </c>
      <c r="K1181" s="2825">
        <v>18</v>
      </c>
      <c r="L1181" s="2844">
        <f>+K1181*3</f>
        <v>54</v>
      </c>
      <c r="M1181" s="2826">
        <v>16</v>
      </c>
      <c r="N1181" s="2844">
        <f>+M1181*3</f>
        <v>48</v>
      </c>
      <c r="O1181" s="2831">
        <v>1</v>
      </c>
      <c r="P1181" s="2848">
        <f>IF(O1181&gt;25,150,(O1181)*6)</f>
        <v>6</v>
      </c>
      <c r="Q1181" s="2850">
        <v>10</v>
      </c>
      <c r="R1181" s="2852">
        <f t="shared" si="14"/>
        <v>118</v>
      </c>
      <c r="T1181" s="2871"/>
    </row>
    <row r="1182" spans="4:20" ht="13.5">
      <c r="D1182" s="2817"/>
      <c r="I1182" s="2832" t="s">
        <v>4269</v>
      </c>
      <c r="J1182" s="2833" t="s">
        <v>5255</v>
      </c>
      <c r="K1182" s="2834" t="s">
        <v>5018</v>
      </c>
      <c r="L1182" s="2844"/>
      <c r="M1182" s="2835"/>
      <c r="N1182" s="2844"/>
      <c r="O1182" s="2831">
        <v>13</v>
      </c>
      <c r="P1182" s="2848">
        <f>IF(O1182&gt;25,150,(26-O1182)*6)</f>
        <v>78</v>
      </c>
      <c r="Q1182" s="2850"/>
      <c r="R1182" s="2852">
        <f t="shared" si="14"/>
        <v>78</v>
      </c>
      <c r="S1182" s="2820" t="s">
        <v>5275</v>
      </c>
      <c r="T1182" s="2871"/>
    </row>
    <row r="1183" spans="4:20" ht="13.5">
      <c r="I1183" s="2832" t="s">
        <v>290</v>
      </c>
      <c r="J1183" s="2836" t="s">
        <v>3461</v>
      </c>
      <c r="K1183" s="2825">
        <v>17</v>
      </c>
      <c r="L1183" s="2844">
        <f>+K1183*5</f>
        <v>85</v>
      </c>
      <c r="M1183" s="2826"/>
      <c r="N1183" s="2844">
        <f>+M1183*5</f>
        <v>0</v>
      </c>
      <c r="O1183" s="2827"/>
      <c r="P1183" s="2847"/>
      <c r="Q1183" s="2849"/>
      <c r="R1183" s="2852">
        <f t="shared" si="14"/>
        <v>85</v>
      </c>
      <c r="S1183" s="2820" t="s">
        <v>5275</v>
      </c>
      <c r="T1183" s="2871"/>
    </row>
    <row r="1184" spans="4:20" ht="13.5">
      <c r="D1184" s="2817"/>
      <c r="I1184" s="2829" t="s">
        <v>5217</v>
      </c>
      <c r="J1184" s="2828" t="s">
        <v>5218</v>
      </c>
      <c r="K1184" s="2834" t="s">
        <v>5018</v>
      </c>
      <c r="L1184" s="2844"/>
      <c r="M1184" s="2835"/>
      <c r="N1184" s="2844"/>
      <c r="O1184" s="2831">
        <v>25</v>
      </c>
      <c r="P1184" s="2848">
        <f>IF(O1184&gt;25,150,(O1184)*6)</f>
        <v>150</v>
      </c>
      <c r="Q1184" s="2850"/>
      <c r="R1184" s="2852">
        <f t="shared" si="14"/>
        <v>150</v>
      </c>
      <c r="S1184" s="2808"/>
      <c r="T1184" s="2871"/>
    </row>
    <row r="1185" spans="4:23" ht="13.5">
      <c r="D1185" s="2817"/>
      <c r="I1185" s="2829" t="s">
        <v>416</v>
      </c>
      <c r="J1185" s="2828" t="s">
        <v>5219</v>
      </c>
      <c r="K1185" s="2834" t="s">
        <v>5018</v>
      </c>
      <c r="L1185" s="2844"/>
      <c r="M1185" s="2835"/>
      <c r="N1185" s="2844"/>
      <c r="O1185" s="2831">
        <v>27</v>
      </c>
      <c r="P1185" s="2848">
        <f>IF(O1185&gt;25,150,(O1185)*6)</f>
        <v>150</v>
      </c>
      <c r="Q1185" s="2850"/>
      <c r="R1185" s="2852">
        <f t="shared" si="14"/>
        <v>150</v>
      </c>
      <c r="S1185" s="2808"/>
      <c r="T1185" s="2871"/>
      <c r="U1185" s="2854" t="s">
        <v>5193</v>
      </c>
      <c r="V1185" s="2854" t="s">
        <v>5295</v>
      </c>
    </row>
    <row r="1186" spans="4:23" ht="13.5">
      <c r="D1186" s="2817"/>
      <c r="I1186" s="2829" t="s">
        <v>5193</v>
      </c>
      <c r="J1186" s="2828" t="s">
        <v>5224</v>
      </c>
      <c r="K1186" s="2834" t="s">
        <v>5018</v>
      </c>
      <c r="L1186" s="2844"/>
      <c r="M1186" s="2835"/>
      <c r="N1186" s="2844"/>
      <c r="O1186" s="2831">
        <v>26</v>
      </c>
      <c r="P1186" s="2848">
        <f>IF(O1186&gt;25,150,(O1186)*6)</f>
        <v>150</v>
      </c>
      <c r="Q1186" s="2850"/>
      <c r="R1186" s="2852">
        <f t="shared" si="14"/>
        <v>150</v>
      </c>
      <c r="S1186" s="2808"/>
      <c r="T1186" s="2871"/>
      <c r="U1186" s="2765">
        <v>108</v>
      </c>
      <c r="V1186" s="2765">
        <v>204</v>
      </c>
      <c r="W1186" s="2856">
        <f>+V1186+U1186</f>
        <v>312</v>
      </c>
    </row>
    <row r="1187" spans="4:23" ht="13.5">
      <c r="I1187" s="2829" t="s">
        <v>5128</v>
      </c>
      <c r="J1187" s="2828" t="s">
        <v>5220</v>
      </c>
      <c r="K1187" s="2825" t="s">
        <v>5018</v>
      </c>
      <c r="L1187" s="2844">
        <v>0</v>
      </c>
      <c r="M1187" s="2826"/>
      <c r="N1187" s="2844">
        <v>0</v>
      </c>
      <c r="O1187" s="2831">
        <v>24</v>
      </c>
      <c r="P1187" s="2848">
        <f>IF(O1187&gt;25,150,(O1187)*6)</f>
        <v>144</v>
      </c>
      <c r="Q1187" s="2850"/>
      <c r="R1187" s="2852">
        <f t="shared" si="14"/>
        <v>144</v>
      </c>
      <c r="T1187" s="2871"/>
      <c r="U1187" s="2765"/>
      <c r="V1187" s="2765"/>
      <c r="W1187" s="2768"/>
    </row>
    <row r="1188" spans="4:23" ht="13.5">
      <c r="I1188" s="2829" t="s">
        <v>5118</v>
      </c>
      <c r="J1188" s="2830" t="s">
        <v>5221</v>
      </c>
      <c r="K1188" s="2825">
        <v>20</v>
      </c>
      <c r="L1188" s="2844">
        <f>+K1188*3</f>
        <v>60</v>
      </c>
      <c r="M1188" s="2826">
        <v>16</v>
      </c>
      <c r="N1188" s="2844">
        <f>+M1188*3</f>
        <v>48</v>
      </c>
      <c r="O1188" s="2827"/>
      <c r="P1188" s="2847"/>
      <c r="Q1188" s="2849">
        <v>10</v>
      </c>
      <c r="R1188" s="2852">
        <f t="shared" si="14"/>
        <v>118</v>
      </c>
      <c r="T1188" s="2871"/>
      <c r="U1188" s="2855" t="s">
        <v>5222</v>
      </c>
      <c r="V1188" s="2855" t="s">
        <v>5296</v>
      </c>
      <c r="W1188" s="2768"/>
    </row>
    <row r="1189" spans="4:23" ht="13.5">
      <c r="D1189" s="2817"/>
      <c r="I1189" s="2829" t="s">
        <v>5222</v>
      </c>
      <c r="J1189" s="2828" t="s">
        <v>5223</v>
      </c>
      <c r="K1189" s="2834"/>
      <c r="L1189" s="2844"/>
      <c r="M1189" s="2835"/>
      <c r="N1189" s="2844"/>
      <c r="O1189" s="2831">
        <v>24</v>
      </c>
      <c r="P1189" s="2848">
        <f t="shared" ref="P1189:P1195" si="15">IF(O1189&gt;25,150,(O1189)*6)</f>
        <v>144</v>
      </c>
      <c r="Q1189" s="2850"/>
      <c r="R1189" s="2852">
        <f t="shared" si="14"/>
        <v>144</v>
      </c>
      <c r="S1189" s="2808"/>
      <c r="T1189" s="2871"/>
      <c r="U1189" s="2765">
        <v>108</v>
      </c>
      <c r="V1189" s="2765">
        <v>180</v>
      </c>
      <c r="W1189" s="2856">
        <f>+V1189+U1189</f>
        <v>288</v>
      </c>
    </row>
    <row r="1190" spans="4:23" ht="13.5">
      <c r="D1190" s="2817"/>
      <c r="I1190" s="2829" t="s">
        <v>5252</v>
      </c>
      <c r="J1190" s="2828" t="s">
        <v>5253</v>
      </c>
      <c r="K1190" s="2825">
        <v>12</v>
      </c>
      <c r="L1190" s="2844">
        <f>+K1190*3</f>
        <v>36</v>
      </c>
      <c r="M1190" s="2826">
        <v>8</v>
      </c>
      <c r="N1190" s="2844">
        <f>+M1190*3</f>
        <v>24</v>
      </c>
      <c r="O1190" s="2831">
        <v>3</v>
      </c>
      <c r="P1190" s="2848">
        <f t="shared" si="15"/>
        <v>18</v>
      </c>
      <c r="Q1190" s="2850">
        <v>10</v>
      </c>
      <c r="R1190" s="2852">
        <f t="shared" si="14"/>
        <v>88</v>
      </c>
      <c r="T1190" s="2871"/>
    </row>
    <row r="1191" spans="4:23" ht="13.5">
      <c r="D1191" s="2817"/>
      <c r="I1191" s="2829" t="s">
        <v>793</v>
      </c>
      <c r="J1191" s="2828" t="s">
        <v>5226</v>
      </c>
      <c r="K1191" s="2834" t="s">
        <v>5018</v>
      </c>
      <c r="L1191" s="2844"/>
      <c r="M1191" s="2835"/>
      <c r="N1191" s="2844"/>
      <c r="O1191" s="2831">
        <v>34</v>
      </c>
      <c r="P1191" s="2848">
        <f t="shared" si="15"/>
        <v>150</v>
      </c>
      <c r="Q1191" s="2850"/>
      <c r="R1191" s="2852">
        <f t="shared" si="14"/>
        <v>150</v>
      </c>
      <c r="S1191" s="2808"/>
      <c r="T1191" s="2871"/>
    </row>
    <row r="1192" spans="4:23" ht="13.5">
      <c r="D1192" s="2817"/>
      <c r="I1192" s="2829" t="s">
        <v>5227</v>
      </c>
      <c r="J1192" s="2828" t="s">
        <v>5228</v>
      </c>
      <c r="K1192" s="2834" t="s">
        <v>5018</v>
      </c>
      <c r="L1192" s="2844"/>
      <c r="M1192" s="2835"/>
      <c r="N1192" s="2844"/>
      <c r="O1192" s="2831">
        <v>19</v>
      </c>
      <c r="P1192" s="2848">
        <f t="shared" si="15"/>
        <v>114</v>
      </c>
      <c r="Q1192" s="2850"/>
      <c r="R1192" s="2852">
        <f t="shared" si="14"/>
        <v>114</v>
      </c>
      <c r="S1192" s="2808"/>
      <c r="T1192" s="2871"/>
    </row>
    <row r="1193" spans="4:23" ht="13.5">
      <c r="D1193" s="2817"/>
      <c r="I1193" s="2829" t="s">
        <v>5287</v>
      </c>
      <c r="J1193" s="2828" t="s">
        <v>5288</v>
      </c>
      <c r="K1193" s="2834"/>
      <c r="L1193" s="2844"/>
      <c r="M1193" s="2835"/>
      <c r="N1193" s="2844"/>
      <c r="O1193" s="2831">
        <v>31</v>
      </c>
      <c r="P1193" s="2848">
        <f t="shared" si="15"/>
        <v>150</v>
      </c>
      <c r="Q1193" s="2850"/>
      <c r="R1193" s="2852">
        <f t="shared" si="14"/>
        <v>150</v>
      </c>
      <c r="S1193" s="2808"/>
      <c r="T1193" s="2871"/>
    </row>
    <row r="1194" spans="4:23" ht="13.5">
      <c r="D1194" s="2817"/>
      <c r="I1194" s="2829" t="s">
        <v>5100</v>
      </c>
      <c r="J1194" s="2828" t="s">
        <v>5229</v>
      </c>
      <c r="K1194" s="2834"/>
      <c r="L1194" s="2844"/>
      <c r="M1194" s="2835"/>
      <c r="N1194" s="2844"/>
      <c r="O1194" s="2831">
        <v>20</v>
      </c>
      <c r="P1194" s="2848">
        <f t="shared" si="15"/>
        <v>120</v>
      </c>
      <c r="Q1194" s="2850"/>
      <c r="R1194" s="2852">
        <f t="shared" si="14"/>
        <v>120</v>
      </c>
      <c r="S1194" s="2808"/>
      <c r="T1194" s="2871"/>
    </row>
    <row r="1195" spans="4:23" ht="13.5">
      <c r="D1195" s="2817"/>
      <c r="I1195" s="2829" t="s">
        <v>5230</v>
      </c>
      <c r="J1195" s="2828" t="s">
        <v>5231</v>
      </c>
      <c r="K1195" s="2834" t="s">
        <v>5018</v>
      </c>
      <c r="L1195" s="2844"/>
      <c r="M1195" s="2835"/>
      <c r="N1195" s="2844"/>
      <c r="O1195" s="2831">
        <v>24</v>
      </c>
      <c r="P1195" s="2848">
        <f t="shared" si="15"/>
        <v>144</v>
      </c>
      <c r="Q1195" s="2850"/>
      <c r="R1195" s="2852">
        <f t="shared" si="14"/>
        <v>144</v>
      </c>
      <c r="S1195" s="2808"/>
      <c r="T1195" s="2871"/>
    </row>
    <row r="1196" spans="4:23" ht="13.5">
      <c r="I1196" s="2829" t="s">
        <v>5120</v>
      </c>
      <c r="J1196" s="2830" t="s">
        <v>3321</v>
      </c>
      <c r="K1196" s="2825">
        <v>10</v>
      </c>
      <c r="L1196" s="2844">
        <v>0</v>
      </c>
      <c r="M1196" s="2826"/>
      <c r="N1196" s="2844">
        <v>0</v>
      </c>
      <c r="O1196" s="2827"/>
      <c r="P1196" s="2847"/>
      <c r="Q1196" s="2849"/>
      <c r="R1196" s="2852">
        <f t="shared" si="14"/>
        <v>0</v>
      </c>
      <c r="T1196" s="2871"/>
    </row>
    <row r="1197" spans="4:23" ht="13.5">
      <c r="D1197" s="2817"/>
      <c r="I1197" s="2832" t="s">
        <v>5232</v>
      </c>
      <c r="J1197" s="2833" t="s">
        <v>5233</v>
      </c>
      <c r="K1197" s="2834" t="s">
        <v>5018</v>
      </c>
      <c r="L1197" s="2844"/>
      <c r="M1197" s="2835"/>
      <c r="N1197" s="2844"/>
      <c r="O1197" s="2831">
        <v>37</v>
      </c>
      <c r="P1197" s="2848">
        <f>IF(O1197&gt;25,150,(O1197)*6)</f>
        <v>150</v>
      </c>
      <c r="Q1197" s="2850"/>
      <c r="R1197" s="2852">
        <f t="shared" si="14"/>
        <v>150</v>
      </c>
      <c r="S1197" s="2820" t="s">
        <v>5275</v>
      </c>
      <c r="T1197" s="2871">
        <v>9.9999999999999991E-22</v>
      </c>
    </row>
    <row r="1198" spans="4:23" ht="13.5">
      <c r="D1198" s="2817"/>
      <c r="I1198" s="2829" t="s">
        <v>5194</v>
      </c>
      <c r="J1198" s="2828" t="s">
        <v>5251</v>
      </c>
      <c r="K1198" s="2825">
        <v>3</v>
      </c>
      <c r="L1198" s="2844">
        <v>0</v>
      </c>
      <c r="M1198" s="2826"/>
      <c r="N1198" s="2844">
        <v>0</v>
      </c>
      <c r="O1198" s="2831">
        <v>27</v>
      </c>
      <c r="P1198" s="2848">
        <f>IF(O1198&gt;25,150,(O1198)*6)</f>
        <v>150</v>
      </c>
      <c r="Q1198" s="2850"/>
      <c r="R1198" s="2852">
        <f t="shared" si="14"/>
        <v>150</v>
      </c>
      <c r="T1198" s="2871"/>
    </row>
    <row r="1199" spans="4:23" ht="13.5">
      <c r="D1199" s="2817"/>
      <c r="I1199" s="2829" t="s">
        <v>5237</v>
      </c>
      <c r="J1199" s="2828" t="s">
        <v>5238</v>
      </c>
      <c r="K1199" s="2834" t="s">
        <v>5018</v>
      </c>
      <c r="L1199" s="2844"/>
      <c r="M1199" s="2835"/>
      <c r="N1199" s="2844"/>
      <c r="O1199" s="2831">
        <v>34</v>
      </c>
      <c r="P1199" s="2848">
        <f>IF(O1199&gt;25,150,(O1199)*6)</f>
        <v>150</v>
      </c>
      <c r="Q1199" s="2850"/>
      <c r="R1199" s="2852">
        <f t="shared" si="14"/>
        <v>150</v>
      </c>
      <c r="S1199" s="2808"/>
      <c r="T1199" s="2871"/>
    </row>
    <row r="1200" spans="4:23" ht="13.5">
      <c r="D1200" s="2817"/>
      <c r="I1200" s="2829" t="s">
        <v>5101</v>
      </c>
      <c r="J1200" s="2828" t="s">
        <v>5289</v>
      </c>
      <c r="K1200" s="2825">
        <v>16</v>
      </c>
      <c r="L1200" s="2844">
        <f>+K1200*3</f>
        <v>48</v>
      </c>
      <c r="M1200" s="2826"/>
      <c r="N1200" s="2844">
        <v>0</v>
      </c>
      <c r="O1200" s="2831">
        <v>30</v>
      </c>
      <c r="P1200" s="2848">
        <f>IF(O1200&gt;25,150,(O1200)*6)</f>
        <v>150</v>
      </c>
      <c r="Q1200" s="2850"/>
      <c r="R1200" s="2852">
        <f t="shared" si="14"/>
        <v>198</v>
      </c>
      <c r="T1200" s="2871"/>
    </row>
    <row r="1201" spans="4:22" ht="13.5">
      <c r="D1201" s="2817"/>
      <c r="I1201" s="2829" t="s">
        <v>5285</v>
      </c>
      <c r="J1201" s="2830" t="s">
        <v>5284</v>
      </c>
      <c r="K1201" s="2825"/>
      <c r="L1201" s="2844">
        <v>0</v>
      </c>
      <c r="M1201" s="2826"/>
      <c r="N1201" s="2844">
        <f>+M1201*3</f>
        <v>0</v>
      </c>
      <c r="O1201" s="2827"/>
      <c r="P1201" s="2847"/>
      <c r="Q1201" s="2849"/>
      <c r="R1201" s="2852">
        <f t="shared" si="14"/>
        <v>0</v>
      </c>
      <c r="T1201" s="2871"/>
    </row>
    <row r="1202" spans="4:22" ht="13.5">
      <c r="I1202" s="2829" t="s">
        <v>5121</v>
      </c>
      <c r="J1202" s="2830" t="s">
        <v>5122</v>
      </c>
      <c r="K1202" s="2825"/>
      <c r="L1202" s="2844">
        <v>0</v>
      </c>
      <c r="M1202" s="2826">
        <v>13</v>
      </c>
      <c r="N1202" s="2844">
        <f>+M1202*3</f>
        <v>39</v>
      </c>
      <c r="O1202" s="2827"/>
      <c r="P1202" s="2847"/>
      <c r="Q1202" s="2849"/>
      <c r="R1202" s="2852">
        <f t="shared" si="14"/>
        <v>39</v>
      </c>
      <c r="T1202" s="2871">
        <v>37.5</v>
      </c>
      <c r="U1202">
        <v>5</v>
      </c>
    </row>
    <row r="1203" spans="4:22" ht="13.5">
      <c r="I1203" s="2829" t="s">
        <v>5102</v>
      </c>
      <c r="J1203" s="2830" t="s">
        <v>5098</v>
      </c>
      <c r="K1203" s="2825">
        <v>21</v>
      </c>
      <c r="L1203" s="2844">
        <f>+K1203*3</f>
        <v>63</v>
      </c>
      <c r="M1203" s="2826">
        <v>18</v>
      </c>
      <c r="N1203" s="2844">
        <f>+M1203*3</f>
        <v>54</v>
      </c>
      <c r="O1203" s="2827"/>
      <c r="P1203" s="2847"/>
      <c r="Q1203" s="2849">
        <v>20</v>
      </c>
      <c r="R1203" s="2852">
        <f t="shared" si="14"/>
        <v>137</v>
      </c>
      <c r="T1203" s="2871"/>
    </row>
    <row r="1204" spans="4:22" ht="13.5">
      <c r="D1204" s="2817"/>
      <c r="I1204" s="2837" t="s">
        <v>5103</v>
      </c>
      <c r="J1204" s="2838" t="s">
        <v>5240</v>
      </c>
      <c r="K1204" s="2834" t="s">
        <v>5018</v>
      </c>
      <c r="L1204" s="2844"/>
      <c r="M1204" s="2835"/>
      <c r="N1204" s="2844"/>
      <c r="O1204" s="2831">
        <v>26</v>
      </c>
      <c r="P1204" s="2848">
        <f>IF(O1204&gt;25,150,(O1204)*6)</f>
        <v>150</v>
      </c>
      <c r="Q1204" s="2850"/>
      <c r="R1204" s="2853">
        <f t="shared" si="14"/>
        <v>150</v>
      </c>
      <c r="S1204" s="2808"/>
      <c r="T1204" s="2871"/>
    </row>
    <row r="1205" spans="4:22" s="96" customFormat="1" ht="20.100000000000001" customHeight="1">
      <c r="D1205" s="97"/>
      <c r="F1205" s="2819"/>
      <c r="I1205" s="2839"/>
      <c r="J1205" s="2840"/>
      <c r="K1205" s="2869">
        <f t="shared" ref="K1205:Q1205" si="16">SUM(K1179:K1204)</f>
        <v>125</v>
      </c>
      <c r="L1205" s="2845">
        <f t="shared" si="16"/>
        <v>346</v>
      </c>
      <c r="M1205" s="2869">
        <f t="shared" si="16"/>
        <v>88</v>
      </c>
      <c r="N1205" s="2845">
        <f t="shared" si="16"/>
        <v>237</v>
      </c>
      <c r="O1205" s="2869">
        <f t="shared" si="16"/>
        <v>425</v>
      </c>
      <c r="P1205" s="2845">
        <f t="shared" si="16"/>
        <v>2268</v>
      </c>
      <c r="Q1205" s="2845">
        <f t="shared" si="16"/>
        <v>60</v>
      </c>
      <c r="R1205" s="2845">
        <f t="shared" si="14"/>
        <v>2911</v>
      </c>
      <c r="T1205" s="2872"/>
    </row>
    <row r="1206" spans="4:22">
      <c r="T1206" s="2873"/>
    </row>
    <row r="1207" spans="4:22" ht="17.25" customHeight="1">
      <c r="D1207" s="2861"/>
      <c r="I1207" s="3830" t="s">
        <v>5300</v>
      </c>
      <c r="J1207" s="3830"/>
      <c r="K1207" s="3830"/>
      <c r="L1207" s="3830"/>
      <c r="M1207" s="3830"/>
      <c r="N1207" s="3830"/>
      <c r="O1207" s="3830"/>
      <c r="P1207" s="3830"/>
      <c r="Q1207" s="3830"/>
      <c r="R1207" s="3830"/>
      <c r="T1207" s="2873"/>
    </row>
    <row r="1208" spans="4:22" ht="13.5">
      <c r="D1208" s="2861"/>
      <c r="I1208" s="2821"/>
      <c r="J1208" s="2821"/>
      <c r="K1208" s="3831" t="s">
        <v>5286</v>
      </c>
      <c r="L1208" s="3832"/>
      <c r="M1208" s="3832"/>
      <c r="N1208" s="3833"/>
      <c r="O1208" s="3832" t="s">
        <v>4643</v>
      </c>
      <c r="P1208" s="3833"/>
      <c r="Q1208" s="2821"/>
      <c r="R1208" s="2821"/>
      <c r="T1208" s="2873"/>
    </row>
    <row r="1209" spans="4:22" ht="40.5">
      <c r="D1209" s="2861"/>
      <c r="I1209" s="2841" t="s">
        <v>1600</v>
      </c>
      <c r="J1209" s="2841" t="s">
        <v>2067</v>
      </c>
      <c r="K1209" s="2822" t="s">
        <v>5131</v>
      </c>
      <c r="L1209" s="2822" t="s">
        <v>5301</v>
      </c>
      <c r="M1209" s="2822" t="s">
        <v>5131</v>
      </c>
      <c r="N1209" s="2822" t="s">
        <v>5302</v>
      </c>
      <c r="O1209" s="2822" t="s">
        <v>5131</v>
      </c>
      <c r="P1209" s="2822" t="s">
        <v>5290</v>
      </c>
      <c r="Q1209" s="2822" t="s">
        <v>5303</v>
      </c>
      <c r="R1209" s="2842" t="s">
        <v>5294</v>
      </c>
      <c r="T1209" s="2870" t="s">
        <v>5291</v>
      </c>
    </row>
    <row r="1210" spans="4:22" ht="13.5">
      <c r="D1210" s="2861"/>
      <c r="I1210" s="2823" t="s">
        <v>5281</v>
      </c>
      <c r="J1210" s="2824" t="s">
        <v>5280</v>
      </c>
      <c r="K1210" s="2825"/>
      <c r="L1210" s="2846">
        <v>0</v>
      </c>
      <c r="M1210" s="2826"/>
      <c r="N1210" s="2844">
        <f>+M1210*3</f>
        <v>0</v>
      </c>
      <c r="O1210" s="2827"/>
      <c r="P1210" s="2847"/>
      <c r="Q1210" s="2849"/>
      <c r="R1210" s="2851">
        <f>+L1210+N1210+P1210+Q1210</f>
        <v>0</v>
      </c>
      <c r="T1210" s="2871"/>
    </row>
    <row r="1211" spans="4:22" ht="13.5">
      <c r="D1211" s="2861"/>
      <c r="I1211" s="2859" t="s">
        <v>3050</v>
      </c>
      <c r="J1211" s="2830" t="s">
        <v>5095</v>
      </c>
      <c r="K1211" s="2825"/>
      <c r="L1211" s="2844">
        <v>0</v>
      </c>
      <c r="M1211" s="2826"/>
      <c r="N1211" s="2844">
        <v>0</v>
      </c>
      <c r="O1211" s="2827"/>
      <c r="P1211" s="2847"/>
      <c r="Q1211" s="2849"/>
      <c r="R1211" s="2852">
        <f t="shared" ref="R1211:R1236" si="17">+L1211+N1211+P1211+Q1211</f>
        <v>0</v>
      </c>
      <c r="T1211" s="2871"/>
    </row>
    <row r="1212" spans="4:22" ht="13.5">
      <c r="D1212" s="2861"/>
      <c r="I1212" s="2859" t="s">
        <v>706</v>
      </c>
      <c r="J1212" s="2828" t="s">
        <v>5254</v>
      </c>
      <c r="K1212" s="2825"/>
      <c r="L1212" s="2844">
        <f>+K1212*3</f>
        <v>0</v>
      </c>
      <c r="M1212" s="2826"/>
      <c r="N1212" s="2844">
        <f>+M1212*3</f>
        <v>0</v>
      </c>
      <c r="O1212" s="2831"/>
      <c r="P1212" s="2848">
        <f>IF(O1212&gt;25,150,(O1212)*6)</f>
        <v>0</v>
      </c>
      <c r="Q1212" s="2850"/>
      <c r="R1212" s="2852">
        <f t="shared" si="17"/>
        <v>0</v>
      </c>
      <c r="T1212" s="2871"/>
    </row>
    <row r="1213" spans="4:22" ht="13.5">
      <c r="D1213" s="2861"/>
      <c r="I1213" s="2832" t="s">
        <v>4269</v>
      </c>
      <c r="J1213" s="2833" t="s">
        <v>5304</v>
      </c>
      <c r="K1213" s="2834"/>
      <c r="L1213" s="2844"/>
      <c r="M1213" s="2860"/>
      <c r="N1213" s="2844"/>
      <c r="O1213" s="2831">
        <v>40</v>
      </c>
      <c r="P1213" s="2848">
        <f>IF(O1213&gt;25,150,(26-O1213)*6)</f>
        <v>150</v>
      </c>
      <c r="Q1213" s="2850"/>
      <c r="R1213" s="2852">
        <f t="shared" si="17"/>
        <v>150</v>
      </c>
      <c r="S1213" s="2862" t="s">
        <v>5275</v>
      </c>
      <c r="T1213" s="2871"/>
    </row>
    <row r="1214" spans="4:22" ht="13.5">
      <c r="D1214" s="2861"/>
      <c r="I1214" s="2832" t="s">
        <v>290</v>
      </c>
      <c r="J1214" s="2836" t="s">
        <v>5305</v>
      </c>
      <c r="K1214" s="2825"/>
      <c r="L1214" s="2844">
        <f>+K1214*5</f>
        <v>0</v>
      </c>
      <c r="M1214" s="2826"/>
      <c r="N1214" s="2844">
        <f>+M1214*5</f>
        <v>0</v>
      </c>
      <c r="O1214" s="2827"/>
      <c r="P1214" s="2847"/>
      <c r="Q1214" s="2849"/>
      <c r="R1214" s="2852">
        <f t="shared" si="17"/>
        <v>0</v>
      </c>
      <c r="S1214" s="2862" t="s">
        <v>5275</v>
      </c>
      <c r="T1214" s="2871"/>
    </row>
    <row r="1215" spans="4:22" ht="13.5">
      <c r="D1215" s="2861"/>
      <c r="I1215" s="2859" t="s">
        <v>5217</v>
      </c>
      <c r="J1215" s="2828" t="s">
        <v>5218</v>
      </c>
      <c r="K1215" s="2834"/>
      <c r="L1215" s="2844"/>
      <c r="M1215" s="2860"/>
      <c r="N1215" s="2844"/>
      <c r="O1215" s="2831">
        <v>30</v>
      </c>
      <c r="P1215" s="2848">
        <f>IF(O1215&gt;25,150,(O1215)*6)</f>
        <v>150</v>
      </c>
      <c r="Q1215" s="2850"/>
      <c r="R1215" s="2852">
        <f t="shared" si="17"/>
        <v>150</v>
      </c>
      <c r="S1215" s="2808"/>
      <c r="T1215" s="2871"/>
    </row>
    <row r="1216" spans="4:22" ht="13.5">
      <c r="D1216" s="2861"/>
      <c r="I1216" s="2859" t="s">
        <v>416</v>
      </c>
      <c r="J1216" s="2828" t="s">
        <v>5219</v>
      </c>
      <c r="K1216" s="2834"/>
      <c r="L1216" s="2844"/>
      <c r="M1216" s="2860"/>
      <c r="N1216" s="2844"/>
      <c r="O1216" s="2831">
        <v>29</v>
      </c>
      <c r="P1216" s="2848">
        <f>IF(O1216&gt;25,150,(O1216)*6)</f>
        <v>150</v>
      </c>
      <c r="Q1216" s="2850"/>
      <c r="R1216" s="2852">
        <f t="shared" si="17"/>
        <v>150</v>
      </c>
      <c r="S1216" s="2808"/>
      <c r="T1216" s="2871">
        <v>53</v>
      </c>
      <c r="U1216" s="2854" t="s">
        <v>5193</v>
      </c>
      <c r="V1216" s="2854" t="s">
        <v>5295</v>
      </c>
    </row>
    <row r="1217" spans="4:23" ht="13.5">
      <c r="D1217" s="2861"/>
      <c r="I1217" s="2859" t="s">
        <v>5193</v>
      </c>
      <c r="J1217" s="2828" t="s">
        <v>5224</v>
      </c>
      <c r="K1217" s="2834"/>
      <c r="L1217" s="2844"/>
      <c r="M1217" s="2860"/>
      <c r="N1217" s="2844"/>
      <c r="O1217" s="2831">
        <v>29</v>
      </c>
      <c r="P1217" s="2848">
        <f>IF(O1217&gt;25,150,(O1217)*6)</f>
        <v>150</v>
      </c>
      <c r="Q1217" s="2850"/>
      <c r="R1217" s="2852">
        <f t="shared" si="17"/>
        <v>150</v>
      </c>
      <c r="S1217" s="2808"/>
      <c r="T1217" s="2871"/>
      <c r="U1217" s="2765">
        <v>108</v>
      </c>
      <c r="V1217" s="2765">
        <v>204</v>
      </c>
      <c r="W1217" s="2856">
        <f>+V1217+U1217</f>
        <v>312</v>
      </c>
    </row>
    <row r="1218" spans="4:23" ht="13.5">
      <c r="D1218" s="2861"/>
      <c r="I1218" s="2859" t="s">
        <v>5128</v>
      </c>
      <c r="J1218" s="2828" t="s">
        <v>5220</v>
      </c>
      <c r="K1218" s="2825"/>
      <c r="L1218" s="2844">
        <v>0</v>
      </c>
      <c r="M1218" s="2826"/>
      <c r="N1218" s="2844">
        <v>0</v>
      </c>
      <c r="O1218" s="2831">
        <v>23</v>
      </c>
      <c r="P1218" s="2848">
        <f>IF(O1218&gt;25,150,(O1218)*6)</f>
        <v>138</v>
      </c>
      <c r="Q1218" s="2850"/>
      <c r="R1218" s="2852">
        <f t="shared" si="17"/>
        <v>138</v>
      </c>
      <c r="T1218" s="2871"/>
      <c r="U1218" s="2765"/>
      <c r="V1218" s="2765"/>
      <c r="W1218" s="2768"/>
    </row>
    <row r="1219" spans="4:23" ht="13.5">
      <c r="D1219" s="2861"/>
      <c r="I1219" s="2859" t="s">
        <v>5118</v>
      </c>
      <c r="J1219" s="2830" t="s">
        <v>5221</v>
      </c>
      <c r="K1219" s="2825"/>
      <c r="L1219" s="2844">
        <f>+K1219*3</f>
        <v>0</v>
      </c>
      <c r="M1219" s="2826"/>
      <c r="N1219" s="2844">
        <f>+M1219*3</f>
        <v>0</v>
      </c>
      <c r="O1219" s="2827"/>
      <c r="P1219" s="2847"/>
      <c r="Q1219" s="2849"/>
      <c r="R1219" s="2852">
        <f t="shared" si="17"/>
        <v>0</v>
      </c>
      <c r="T1219" s="2871"/>
      <c r="U1219" s="2855" t="s">
        <v>5222</v>
      </c>
      <c r="V1219" s="2855" t="s">
        <v>5296</v>
      </c>
      <c r="W1219" s="2768"/>
    </row>
    <row r="1220" spans="4:23" ht="13.5">
      <c r="D1220" s="2861"/>
      <c r="I1220" s="2859" t="s">
        <v>5222</v>
      </c>
      <c r="J1220" s="2828" t="s">
        <v>5223</v>
      </c>
      <c r="K1220" s="2834"/>
      <c r="L1220" s="2844"/>
      <c r="M1220" s="2860"/>
      <c r="N1220" s="2844"/>
      <c r="O1220" s="2831">
        <v>34</v>
      </c>
      <c r="P1220" s="2848">
        <f t="shared" ref="P1220:P1226" si="18">IF(O1220&gt;25,150,(O1220)*6)</f>
        <v>150</v>
      </c>
      <c r="Q1220" s="2850"/>
      <c r="R1220" s="2852">
        <f t="shared" si="17"/>
        <v>150</v>
      </c>
      <c r="S1220" s="2808"/>
      <c r="T1220" s="2871"/>
      <c r="U1220" s="2765">
        <v>108</v>
      </c>
      <c r="V1220" s="2765">
        <v>180</v>
      </c>
      <c r="W1220" s="2856">
        <f>+V1220+U1220</f>
        <v>288</v>
      </c>
    </row>
    <row r="1221" spans="4:23" ht="13.5">
      <c r="D1221" s="2861"/>
      <c r="I1221" s="2859" t="s">
        <v>5252</v>
      </c>
      <c r="J1221" s="2828" t="s">
        <v>5253</v>
      </c>
      <c r="K1221" s="2825"/>
      <c r="L1221" s="2844">
        <f>+K1221*3</f>
        <v>0</v>
      </c>
      <c r="M1221" s="2826"/>
      <c r="N1221" s="2844">
        <f>+M1221*3</f>
        <v>0</v>
      </c>
      <c r="O1221" s="2831">
        <v>15</v>
      </c>
      <c r="P1221" s="2848">
        <f t="shared" si="18"/>
        <v>90</v>
      </c>
      <c r="Q1221" s="2850"/>
      <c r="R1221" s="2852">
        <f t="shared" si="17"/>
        <v>90</v>
      </c>
      <c r="T1221" s="2871"/>
    </row>
    <row r="1222" spans="4:23" ht="13.5">
      <c r="D1222" s="2861"/>
      <c r="I1222" s="2859" t="s">
        <v>793</v>
      </c>
      <c r="J1222" s="2828" t="s">
        <v>5226</v>
      </c>
      <c r="K1222" s="2834"/>
      <c r="L1222" s="2844"/>
      <c r="M1222" s="2860"/>
      <c r="N1222" s="2844"/>
      <c r="O1222" s="2831">
        <v>37</v>
      </c>
      <c r="P1222" s="2848">
        <f t="shared" si="18"/>
        <v>150</v>
      </c>
      <c r="Q1222" s="2850"/>
      <c r="R1222" s="2852">
        <f t="shared" si="17"/>
        <v>150</v>
      </c>
      <c r="S1222" s="2808"/>
      <c r="T1222" s="2871"/>
    </row>
    <row r="1223" spans="4:23" ht="13.5">
      <c r="D1223" s="2861"/>
      <c r="I1223" s="2859" t="s">
        <v>5227</v>
      </c>
      <c r="J1223" s="2828" t="s">
        <v>5228</v>
      </c>
      <c r="K1223" s="2834"/>
      <c r="L1223" s="2844"/>
      <c r="M1223" s="2860"/>
      <c r="N1223" s="2844"/>
      <c r="O1223" s="2831">
        <v>28</v>
      </c>
      <c r="P1223" s="2848">
        <f t="shared" si="18"/>
        <v>150</v>
      </c>
      <c r="Q1223" s="2850"/>
      <c r="R1223" s="2852">
        <f t="shared" si="17"/>
        <v>150</v>
      </c>
      <c r="S1223" s="2808"/>
      <c r="T1223" s="2871"/>
    </row>
    <row r="1224" spans="4:23" ht="13.5">
      <c r="D1224" s="2861"/>
      <c r="I1224" s="2859" t="s">
        <v>5287</v>
      </c>
      <c r="J1224" s="2828" t="s">
        <v>5288</v>
      </c>
      <c r="K1224" s="2834"/>
      <c r="L1224" s="2844"/>
      <c r="M1224" s="2860"/>
      <c r="N1224" s="2844"/>
      <c r="O1224" s="2831">
        <v>37</v>
      </c>
      <c r="P1224" s="2848">
        <f t="shared" si="18"/>
        <v>150</v>
      </c>
      <c r="Q1224" s="2850"/>
      <c r="R1224" s="2852">
        <f t="shared" si="17"/>
        <v>150</v>
      </c>
      <c r="S1224" s="2808"/>
      <c r="T1224" s="2871"/>
    </row>
    <row r="1225" spans="4:23" ht="13.5">
      <c r="D1225" s="2861"/>
      <c r="I1225" s="2859" t="s">
        <v>5100</v>
      </c>
      <c r="J1225" s="2828" t="s">
        <v>5229</v>
      </c>
      <c r="K1225" s="2834"/>
      <c r="L1225" s="2844"/>
      <c r="M1225" s="2860"/>
      <c r="N1225" s="2844"/>
      <c r="O1225" s="2831">
        <v>35</v>
      </c>
      <c r="P1225" s="2848">
        <f t="shared" si="18"/>
        <v>150</v>
      </c>
      <c r="Q1225" s="2850"/>
      <c r="R1225" s="2852">
        <f t="shared" si="17"/>
        <v>150</v>
      </c>
      <c r="S1225" s="2808"/>
      <c r="T1225" s="2871"/>
    </row>
    <row r="1226" spans="4:23" ht="13.5">
      <c r="D1226" s="2861"/>
      <c r="I1226" s="2859" t="s">
        <v>5230</v>
      </c>
      <c r="J1226" s="2828" t="s">
        <v>5231</v>
      </c>
      <c r="K1226" s="2834"/>
      <c r="L1226" s="2844"/>
      <c r="M1226" s="2860"/>
      <c r="N1226" s="2844"/>
      <c r="O1226" s="2831">
        <v>32</v>
      </c>
      <c r="P1226" s="2848">
        <f t="shared" si="18"/>
        <v>150</v>
      </c>
      <c r="Q1226" s="2850"/>
      <c r="R1226" s="2852">
        <f t="shared" si="17"/>
        <v>150</v>
      </c>
      <c r="S1226" s="2808"/>
      <c r="T1226" s="2871">
        <v>77</v>
      </c>
    </row>
    <row r="1227" spans="4:23" ht="13.5">
      <c r="D1227" s="2861"/>
      <c r="I1227" s="2859" t="s">
        <v>5120</v>
      </c>
      <c r="J1227" s="2830" t="s">
        <v>3321</v>
      </c>
      <c r="K1227" s="2825"/>
      <c r="L1227" s="2844">
        <v>0</v>
      </c>
      <c r="M1227" s="2826"/>
      <c r="N1227" s="2844">
        <v>0</v>
      </c>
      <c r="O1227" s="2827"/>
      <c r="P1227" s="2847"/>
      <c r="Q1227" s="2849"/>
      <c r="R1227" s="2852">
        <f t="shared" si="17"/>
        <v>0</v>
      </c>
      <c r="T1227" s="2871"/>
    </row>
    <row r="1228" spans="4:23" ht="13.5">
      <c r="D1228" s="2861"/>
      <c r="I1228" s="2832" t="s">
        <v>5232</v>
      </c>
      <c r="J1228" s="2833" t="s">
        <v>5306</v>
      </c>
      <c r="K1228" s="2834"/>
      <c r="L1228" s="2844"/>
      <c r="M1228" s="2860"/>
      <c r="N1228" s="2844"/>
      <c r="O1228" s="2831">
        <v>35</v>
      </c>
      <c r="P1228" s="2848">
        <f>IF(O1228&gt;25,150,(O1228)*6)</f>
        <v>150</v>
      </c>
      <c r="Q1228" s="2850"/>
      <c r="R1228" s="2852">
        <f t="shared" si="17"/>
        <v>150</v>
      </c>
      <c r="S1228" s="2862" t="s">
        <v>5275</v>
      </c>
      <c r="T1228" s="2871">
        <v>9.9999999999999991E-22</v>
      </c>
    </row>
    <row r="1229" spans="4:23" ht="13.5">
      <c r="D1229" s="2861"/>
      <c r="I1229" s="2859" t="s">
        <v>5194</v>
      </c>
      <c r="J1229" s="2828" t="s">
        <v>5251</v>
      </c>
      <c r="K1229" s="2825"/>
      <c r="L1229" s="2844">
        <v>0</v>
      </c>
      <c r="M1229" s="2826"/>
      <c r="N1229" s="2844">
        <v>0</v>
      </c>
      <c r="O1229" s="2831">
        <v>26</v>
      </c>
      <c r="P1229" s="2848">
        <f>IF(O1229&gt;25,150,(O1229)*6)</f>
        <v>150</v>
      </c>
      <c r="Q1229" s="2850">
        <f>14*6</f>
        <v>84</v>
      </c>
      <c r="R1229" s="2852">
        <f t="shared" si="17"/>
        <v>234</v>
      </c>
      <c r="T1229" s="2871"/>
    </row>
    <row r="1230" spans="4:23" ht="13.5">
      <c r="D1230" s="2861"/>
      <c r="I1230" s="2859" t="s">
        <v>5237</v>
      </c>
      <c r="J1230" s="2828" t="s">
        <v>5238</v>
      </c>
      <c r="K1230" s="2834"/>
      <c r="L1230" s="2844"/>
      <c r="M1230" s="2860"/>
      <c r="N1230" s="2844"/>
      <c r="O1230" s="2831">
        <v>24</v>
      </c>
      <c r="P1230" s="2848">
        <f>IF(O1230&gt;25,150,(O1230)*6)</f>
        <v>144</v>
      </c>
      <c r="Q1230" s="2850"/>
      <c r="R1230" s="2852">
        <f t="shared" si="17"/>
        <v>144</v>
      </c>
      <c r="S1230" s="2808"/>
      <c r="T1230" s="2871"/>
    </row>
    <row r="1231" spans="4:23" ht="13.5">
      <c r="D1231" s="2861"/>
      <c r="I1231" s="2859" t="s">
        <v>5101</v>
      </c>
      <c r="J1231" s="2828" t="s">
        <v>5289</v>
      </c>
      <c r="K1231" s="2825"/>
      <c r="L1231" s="2844">
        <f>+K1231*3</f>
        <v>0</v>
      </c>
      <c r="M1231" s="2826"/>
      <c r="N1231" s="2844">
        <v>0</v>
      </c>
      <c r="O1231" s="2831">
        <v>32</v>
      </c>
      <c r="P1231" s="2848">
        <f>IF(O1231&gt;25,150,(O1231)*6)</f>
        <v>150</v>
      </c>
      <c r="Q1231" s="2850"/>
      <c r="R1231" s="2852">
        <f t="shared" si="17"/>
        <v>150</v>
      </c>
      <c r="T1231" s="2871"/>
    </row>
    <row r="1232" spans="4:23" ht="13.5">
      <c r="D1232" s="2861"/>
      <c r="I1232" s="2859" t="s">
        <v>5285</v>
      </c>
      <c r="J1232" s="2830" t="s">
        <v>5284</v>
      </c>
      <c r="K1232" s="2825"/>
      <c r="L1232" s="2844">
        <v>0</v>
      </c>
      <c r="M1232" s="2826"/>
      <c r="N1232" s="2844">
        <f>+M1232*3</f>
        <v>0</v>
      </c>
      <c r="O1232" s="2827"/>
      <c r="P1232" s="2847"/>
      <c r="Q1232" s="2849"/>
      <c r="R1232" s="2852">
        <f t="shared" si="17"/>
        <v>0</v>
      </c>
      <c r="T1232" s="2871"/>
    </row>
    <row r="1233" spans="4:23" ht="13.5">
      <c r="D1233" s="2861"/>
      <c r="I1233" s="2859" t="s">
        <v>5121</v>
      </c>
      <c r="J1233" s="2830" t="s">
        <v>5122</v>
      </c>
      <c r="K1233" s="2825"/>
      <c r="L1233" s="2844">
        <v>0</v>
      </c>
      <c r="M1233" s="2826"/>
      <c r="N1233" s="2844">
        <f>+M1233*3</f>
        <v>0</v>
      </c>
      <c r="O1233" s="2827"/>
      <c r="P1233" s="2847"/>
      <c r="Q1233" s="2849"/>
      <c r="R1233" s="2852">
        <f t="shared" si="17"/>
        <v>0</v>
      </c>
      <c r="T1233" s="2871">
        <v>37.5</v>
      </c>
      <c r="U1233">
        <v>4</v>
      </c>
    </row>
    <row r="1234" spans="4:23" ht="13.5">
      <c r="D1234" s="2861"/>
      <c r="I1234" s="2859" t="s">
        <v>5102</v>
      </c>
      <c r="J1234" s="2830" t="s">
        <v>5098</v>
      </c>
      <c r="K1234" s="2825"/>
      <c r="L1234" s="2844">
        <f>+K1234*3</f>
        <v>0</v>
      </c>
      <c r="M1234" s="2826"/>
      <c r="N1234" s="2844">
        <f>+M1234*3</f>
        <v>0</v>
      </c>
      <c r="O1234" s="2827"/>
      <c r="P1234" s="2847"/>
      <c r="Q1234" s="2849"/>
      <c r="R1234" s="2852">
        <f t="shared" si="17"/>
        <v>0</v>
      </c>
      <c r="T1234" s="2871"/>
    </row>
    <row r="1235" spans="4:23" ht="13.5">
      <c r="D1235" s="2861"/>
      <c r="I1235" s="2837" t="s">
        <v>5103</v>
      </c>
      <c r="J1235" s="2838" t="s">
        <v>5240</v>
      </c>
      <c r="K1235" s="2834"/>
      <c r="L1235" s="2844"/>
      <c r="M1235" s="2860"/>
      <c r="N1235" s="2844"/>
      <c r="O1235" s="2831">
        <v>1</v>
      </c>
      <c r="P1235" s="2848">
        <f>IF(O1235&gt;25,150,(O1235)*6)</f>
        <v>6</v>
      </c>
      <c r="Q1235" s="2850"/>
      <c r="R1235" s="2853">
        <f t="shared" si="17"/>
        <v>6</v>
      </c>
      <c r="S1235" s="2808"/>
      <c r="T1235" s="2871"/>
    </row>
    <row r="1236" spans="4:23" s="96" customFormat="1" ht="20.100000000000001" customHeight="1">
      <c r="D1236" s="97"/>
      <c r="F1236" s="2819"/>
      <c r="I1236" s="2839"/>
      <c r="J1236" s="2840"/>
      <c r="K1236" s="2869">
        <f t="shared" ref="K1236:Q1236" si="19">SUM(K1210:K1235)</f>
        <v>0</v>
      </c>
      <c r="L1236" s="2845">
        <f t="shared" si="19"/>
        <v>0</v>
      </c>
      <c r="M1236" s="2869">
        <f t="shared" si="19"/>
        <v>0</v>
      </c>
      <c r="N1236" s="2845">
        <f t="shared" si="19"/>
        <v>0</v>
      </c>
      <c r="O1236" s="2869">
        <f t="shared" si="19"/>
        <v>487</v>
      </c>
      <c r="P1236" s="2843">
        <f t="shared" si="19"/>
        <v>2328</v>
      </c>
      <c r="Q1236" s="2843">
        <f t="shared" si="19"/>
        <v>84</v>
      </c>
      <c r="R1236" s="2845">
        <f t="shared" si="17"/>
        <v>2412</v>
      </c>
      <c r="T1236" s="2872"/>
    </row>
    <row r="1237" spans="4:23">
      <c r="D1237" s="2861"/>
      <c r="T1237" s="2873"/>
    </row>
    <row r="1238" spans="4:23" ht="13.5">
      <c r="I1238" s="3830" t="s">
        <v>5311</v>
      </c>
      <c r="J1238" s="3830"/>
      <c r="K1238" s="3830"/>
      <c r="L1238" s="3830"/>
      <c r="M1238" s="3830"/>
      <c r="N1238" s="3830"/>
      <c r="O1238" s="3830"/>
      <c r="P1238" s="3830"/>
      <c r="Q1238" s="3830"/>
      <c r="R1238" s="3830"/>
      <c r="T1238" s="2873"/>
    </row>
    <row r="1239" spans="4:23" ht="13.5">
      <c r="I1239" s="2821"/>
      <c r="J1239" s="2821"/>
      <c r="K1239" s="3831" t="s">
        <v>5286</v>
      </c>
      <c r="L1239" s="3832"/>
      <c r="M1239" s="3832"/>
      <c r="N1239" s="3833"/>
      <c r="O1239" s="3832" t="s">
        <v>4643</v>
      </c>
      <c r="P1239" s="3833"/>
      <c r="Q1239" s="2821"/>
      <c r="R1239" s="2821"/>
      <c r="T1239" s="2873"/>
    </row>
    <row r="1240" spans="4:23" ht="40.5">
      <c r="I1240" s="2841" t="s">
        <v>1600</v>
      </c>
      <c r="J1240" s="2841" t="s">
        <v>2067</v>
      </c>
      <c r="K1240" s="2822" t="s">
        <v>5131</v>
      </c>
      <c r="L1240" s="2822" t="s">
        <v>5301</v>
      </c>
      <c r="M1240" s="2822" t="s">
        <v>5131</v>
      </c>
      <c r="N1240" s="2822" t="s">
        <v>5302</v>
      </c>
      <c r="O1240" s="2822" t="s">
        <v>5131</v>
      </c>
      <c r="P1240" s="2822" t="s">
        <v>5290</v>
      </c>
      <c r="Q1240" s="2822" t="s">
        <v>5314</v>
      </c>
      <c r="R1240" s="2842" t="s">
        <v>5294</v>
      </c>
      <c r="T1240" s="2870" t="s">
        <v>5291</v>
      </c>
    </row>
    <row r="1241" spans="4:23" ht="13.5">
      <c r="I1241" s="2823" t="s">
        <v>5281</v>
      </c>
      <c r="J1241" s="2824" t="s">
        <v>5280</v>
      </c>
      <c r="K1241" s="2825"/>
      <c r="L1241" s="2846">
        <v>0</v>
      </c>
      <c r="M1241" s="2826"/>
      <c r="N1241" s="2844">
        <f>+M1241*3</f>
        <v>0</v>
      </c>
      <c r="O1241" s="2827"/>
      <c r="P1241" s="2847"/>
      <c r="Q1241" s="2849"/>
      <c r="R1241" s="2851">
        <f>+L1241+N1241+P1241+Q1241</f>
        <v>0</v>
      </c>
      <c r="T1241" s="2871"/>
    </row>
    <row r="1242" spans="4:23" ht="13.5">
      <c r="I1242" s="2867" t="s">
        <v>3050</v>
      </c>
      <c r="J1242" s="2830" t="s">
        <v>5095</v>
      </c>
      <c r="K1242" s="2825"/>
      <c r="L1242" s="2844">
        <v>0</v>
      </c>
      <c r="M1242" s="2826"/>
      <c r="N1242" s="2844">
        <v>0</v>
      </c>
      <c r="O1242" s="2827"/>
      <c r="P1242" s="2847"/>
      <c r="Q1242" s="2849"/>
      <c r="R1242" s="2852">
        <f t="shared" ref="R1242:R1268" si="20">+L1242+N1242+P1242+Q1242</f>
        <v>0</v>
      </c>
      <c r="T1242" s="2871"/>
    </row>
    <row r="1243" spans="4:23" ht="13.5">
      <c r="I1243" s="2867" t="s">
        <v>706</v>
      </c>
      <c r="J1243" s="2828" t="s">
        <v>5254</v>
      </c>
      <c r="K1243" s="2825"/>
      <c r="L1243" s="2844">
        <f>+K1243*3</f>
        <v>0</v>
      </c>
      <c r="M1243" s="2826"/>
      <c r="N1243" s="2844">
        <f>+M1243*3</f>
        <v>0</v>
      </c>
      <c r="O1243" s="2831">
        <v>31</v>
      </c>
      <c r="P1243" s="2848">
        <f>IF(O1243&gt;25,150,(O1243)*6)</f>
        <v>150</v>
      </c>
      <c r="Q1243" s="2850"/>
      <c r="R1243" s="2852">
        <f t="shared" si="20"/>
        <v>150</v>
      </c>
      <c r="T1243" s="2871"/>
    </row>
    <row r="1244" spans="4:23" ht="13.5">
      <c r="I1244" s="2832" t="s">
        <v>4269</v>
      </c>
      <c r="J1244" s="2833" t="s">
        <v>5304</v>
      </c>
      <c r="K1244" s="2834"/>
      <c r="L1244" s="2844"/>
      <c r="M1244" s="2868"/>
      <c r="N1244" s="2844"/>
      <c r="O1244" s="2831">
        <v>37</v>
      </c>
      <c r="P1244" s="2848">
        <f>IF(O1244&gt;25,150,(26-O1244)*6)</f>
        <v>150</v>
      </c>
      <c r="Q1244" s="2850"/>
      <c r="R1244" s="2852">
        <f t="shared" si="20"/>
        <v>150</v>
      </c>
      <c r="S1244" s="2862" t="s">
        <v>5275</v>
      </c>
      <c r="T1244" s="2871"/>
    </row>
    <row r="1245" spans="4:23" ht="13.5">
      <c r="I1245" s="2832" t="s">
        <v>290</v>
      </c>
      <c r="J1245" s="2836" t="s">
        <v>5305</v>
      </c>
      <c r="K1245" s="2825"/>
      <c r="L1245" s="2844">
        <f>+K1245*5</f>
        <v>0</v>
      </c>
      <c r="M1245" s="2826"/>
      <c r="N1245" s="2844">
        <f>+M1245*5</f>
        <v>0</v>
      </c>
      <c r="O1245" s="2827"/>
      <c r="P1245" s="2847"/>
      <c r="Q1245" s="2849"/>
      <c r="R1245" s="2852">
        <f t="shared" si="20"/>
        <v>0</v>
      </c>
      <c r="S1245" s="2862" t="s">
        <v>5275</v>
      </c>
      <c r="T1245" s="2871"/>
    </row>
    <row r="1246" spans="4:23" ht="13.5">
      <c r="I1246" s="2867" t="s">
        <v>5217</v>
      </c>
      <c r="J1246" s="2828" t="s">
        <v>5218</v>
      </c>
      <c r="K1246" s="2834"/>
      <c r="L1246" s="2844"/>
      <c r="M1246" s="2868"/>
      <c r="N1246" s="2844"/>
      <c r="O1246" s="2831">
        <v>8</v>
      </c>
      <c r="P1246" s="2848">
        <f>IF(O1246&gt;25,150,(O1246)*6)</f>
        <v>48</v>
      </c>
      <c r="Q1246" s="2850"/>
      <c r="R1246" s="2852">
        <f t="shared" si="20"/>
        <v>48</v>
      </c>
      <c r="S1246" s="2808"/>
      <c r="T1246" s="2871"/>
    </row>
    <row r="1247" spans="4:23" ht="13.5">
      <c r="I1247" s="2867" t="s">
        <v>416</v>
      </c>
      <c r="J1247" s="2828" t="s">
        <v>5219</v>
      </c>
      <c r="K1247" s="2834"/>
      <c r="L1247" s="2844"/>
      <c r="M1247" s="2868"/>
      <c r="N1247" s="2844"/>
      <c r="O1247" s="2831"/>
      <c r="P1247" s="2848">
        <f>IF(O1247&gt;25,150,(O1247)*6)</f>
        <v>0</v>
      </c>
      <c r="Q1247" s="2850"/>
      <c r="R1247" s="2852">
        <f t="shared" si="20"/>
        <v>0</v>
      </c>
      <c r="S1247" s="2808"/>
      <c r="T1247" s="2871">
        <v>9.9999999999999991E-22</v>
      </c>
      <c r="U1247" s="2854" t="s">
        <v>5193</v>
      </c>
      <c r="V1247" s="2854" t="s">
        <v>5295</v>
      </c>
    </row>
    <row r="1248" spans="4:23" ht="13.5">
      <c r="I1248" s="2867" t="s">
        <v>5193</v>
      </c>
      <c r="J1248" s="2828" t="s">
        <v>5224</v>
      </c>
      <c r="K1248" s="2834"/>
      <c r="L1248" s="2844"/>
      <c r="M1248" s="2868"/>
      <c r="N1248" s="2844"/>
      <c r="O1248" s="2831">
        <v>1</v>
      </c>
      <c r="P1248" s="2848">
        <f>IF(O1248&gt;25,150,(O1248)*6)</f>
        <v>6</v>
      </c>
      <c r="Q1248" s="2850"/>
      <c r="R1248" s="2852">
        <f t="shared" si="20"/>
        <v>6</v>
      </c>
      <c r="S1248" s="2808"/>
      <c r="T1248" s="2871"/>
      <c r="U1248" s="2765">
        <v>108</v>
      </c>
      <c r="V1248" s="2765">
        <v>204</v>
      </c>
      <c r="W1248" s="2856">
        <f>+V1248+U1248</f>
        <v>312</v>
      </c>
    </row>
    <row r="1249" spans="9:23" ht="13.5">
      <c r="I1249" s="2867" t="s">
        <v>5128</v>
      </c>
      <c r="J1249" s="2828" t="s">
        <v>5220</v>
      </c>
      <c r="K1249" s="2825"/>
      <c r="L1249" s="2844">
        <v>0</v>
      </c>
      <c r="M1249" s="2826"/>
      <c r="N1249" s="2844">
        <v>0</v>
      </c>
      <c r="O1249" s="2831">
        <v>25</v>
      </c>
      <c r="P1249" s="2848">
        <f>IF(O1249&gt;25,150,(O1249)*6)</f>
        <v>150</v>
      </c>
      <c r="Q1249" s="2850"/>
      <c r="R1249" s="2852">
        <f t="shared" si="20"/>
        <v>150</v>
      </c>
      <c r="T1249" s="2871"/>
      <c r="U1249" s="2765"/>
      <c r="V1249" s="2765"/>
      <c r="W1249" s="2768"/>
    </row>
    <row r="1250" spans="9:23" ht="13.5">
      <c r="I1250" s="2867" t="s">
        <v>5118</v>
      </c>
      <c r="J1250" s="2830" t="s">
        <v>5221</v>
      </c>
      <c r="K1250" s="2825"/>
      <c r="L1250" s="2844">
        <f>+K1250*3</f>
        <v>0</v>
      </c>
      <c r="M1250" s="2826"/>
      <c r="N1250" s="2844">
        <f>+M1250*3</f>
        <v>0</v>
      </c>
      <c r="O1250" s="2831">
        <v>30</v>
      </c>
      <c r="P1250" s="2848">
        <f>IF(O1250&gt;25,150,(O1250)*6)</f>
        <v>150</v>
      </c>
      <c r="Q1250" s="2849"/>
      <c r="R1250" s="2852">
        <f t="shared" si="20"/>
        <v>150</v>
      </c>
      <c r="T1250" s="2871"/>
      <c r="U1250" s="2855" t="s">
        <v>5222</v>
      </c>
      <c r="V1250" s="2855" t="s">
        <v>5296</v>
      </c>
      <c r="W1250" s="2768"/>
    </row>
    <row r="1251" spans="9:23" ht="13.5">
      <c r="I1251" s="2867" t="s">
        <v>5222</v>
      </c>
      <c r="J1251" s="2828" t="s">
        <v>5223</v>
      </c>
      <c r="K1251" s="2834"/>
      <c r="L1251" s="2844"/>
      <c r="M1251" s="2868"/>
      <c r="N1251" s="2844"/>
      <c r="O1251" s="2831">
        <v>39</v>
      </c>
      <c r="P1251" s="2848">
        <f t="shared" ref="P1251:P1257" si="21">IF(O1251&gt;25,150,(O1251)*6)</f>
        <v>150</v>
      </c>
      <c r="Q1251" s="2850"/>
      <c r="R1251" s="2852">
        <f t="shared" si="20"/>
        <v>150</v>
      </c>
      <c r="S1251" s="2808"/>
      <c r="T1251" s="2871"/>
      <c r="U1251" s="2765">
        <v>108</v>
      </c>
      <c r="V1251" s="2765">
        <v>180</v>
      </c>
      <c r="W1251" s="2856">
        <f>+V1251+U1251</f>
        <v>288</v>
      </c>
    </row>
    <row r="1252" spans="9:23" ht="13.5">
      <c r="I1252" s="2867" t="s">
        <v>5252</v>
      </c>
      <c r="J1252" s="2828" t="s">
        <v>5253</v>
      </c>
      <c r="K1252" s="2825"/>
      <c r="L1252" s="2844">
        <f>+K1252*3</f>
        <v>0</v>
      </c>
      <c r="M1252" s="2826"/>
      <c r="N1252" s="2844">
        <f>+M1252*3</f>
        <v>0</v>
      </c>
      <c r="O1252" s="2831">
        <v>23</v>
      </c>
      <c r="P1252" s="2848">
        <f t="shared" si="21"/>
        <v>138</v>
      </c>
      <c r="Q1252" s="2850"/>
      <c r="R1252" s="2852">
        <f t="shared" si="20"/>
        <v>138</v>
      </c>
      <c r="T1252" s="2871"/>
    </row>
    <row r="1253" spans="9:23" ht="13.5">
      <c r="I1253" s="2867" t="s">
        <v>793</v>
      </c>
      <c r="J1253" s="2828" t="s">
        <v>5226</v>
      </c>
      <c r="K1253" s="2834"/>
      <c r="L1253" s="2844"/>
      <c r="M1253" s="2868"/>
      <c r="N1253" s="2844"/>
      <c r="O1253" s="2831">
        <v>41</v>
      </c>
      <c r="P1253" s="2848">
        <f t="shared" si="21"/>
        <v>150</v>
      </c>
      <c r="Q1253" s="2850"/>
      <c r="R1253" s="2852">
        <f t="shared" si="20"/>
        <v>150</v>
      </c>
      <c r="S1253" s="2808"/>
      <c r="T1253" s="2871"/>
    </row>
    <row r="1254" spans="9:23" ht="13.5">
      <c r="I1254" s="2867" t="s">
        <v>5227</v>
      </c>
      <c r="J1254" s="2828" t="s">
        <v>5228</v>
      </c>
      <c r="K1254" s="2834"/>
      <c r="L1254" s="2844"/>
      <c r="M1254" s="2868"/>
      <c r="N1254" s="2844"/>
      <c r="O1254" s="2831">
        <v>28</v>
      </c>
      <c r="P1254" s="2848">
        <f t="shared" si="21"/>
        <v>150</v>
      </c>
      <c r="Q1254" s="2850"/>
      <c r="R1254" s="2852">
        <f t="shared" si="20"/>
        <v>150</v>
      </c>
      <c r="S1254" s="2808"/>
      <c r="T1254" s="2871"/>
    </row>
    <row r="1255" spans="9:23" ht="13.5">
      <c r="I1255" s="2867" t="s">
        <v>5287</v>
      </c>
      <c r="J1255" s="2828" t="s">
        <v>5288</v>
      </c>
      <c r="K1255" s="2834"/>
      <c r="L1255" s="2844"/>
      <c r="M1255" s="2868"/>
      <c r="N1255" s="2844"/>
      <c r="O1255" s="2831">
        <v>34</v>
      </c>
      <c r="P1255" s="2848">
        <f t="shared" si="21"/>
        <v>150</v>
      </c>
      <c r="Q1255" s="2850"/>
      <c r="R1255" s="2852">
        <f t="shared" si="20"/>
        <v>150</v>
      </c>
      <c r="S1255" s="2808"/>
      <c r="T1255" s="2871"/>
    </row>
    <row r="1256" spans="9:23" ht="13.5">
      <c r="I1256" s="2867" t="s">
        <v>5100</v>
      </c>
      <c r="J1256" s="2828" t="s">
        <v>5229</v>
      </c>
      <c r="K1256" s="2834"/>
      <c r="L1256" s="2844"/>
      <c r="M1256" s="2868"/>
      <c r="N1256" s="2844"/>
      <c r="O1256" s="2831">
        <v>37</v>
      </c>
      <c r="P1256" s="2848">
        <f t="shared" si="21"/>
        <v>150</v>
      </c>
      <c r="Q1256" s="2850"/>
      <c r="R1256" s="2852">
        <f t="shared" si="20"/>
        <v>150</v>
      </c>
      <c r="S1256" s="2808"/>
      <c r="T1256" s="2871"/>
    </row>
    <row r="1257" spans="9:23" ht="13.5">
      <c r="I1257" s="2867" t="s">
        <v>5230</v>
      </c>
      <c r="J1257" s="2828" t="s">
        <v>5231</v>
      </c>
      <c r="K1257" s="2834"/>
      <c r="L1257" s="2844"/>
      <c r="M1257" s="2868"/>
      <c r="N1257" s="2844"/>
      <c r="O1257" s="2831">
        <v>32</v>
      </c>
      <c r="P1257" s="2848">
        <f t="shared" si="21"/>
        <v>150</v>
      </c>
      <c r="Q1257" s="2850"/>
      <c r="R1257" s="2852">
        <f t="shared" si="20"/>
        <v>150</v>
      </c>
      <c r="S1257" s="2808"/>
      <c r="T1257" s="2871">
        <v>77</v>
      </c>
    </row>
    <row r="1258" spans="9:23" ht="13.5">
      <c r="I1258" s="2867" t="s">
        <v>5120</v>
      </c>
      <c r="J1258" s="2830" t="s">
        <v>3321</v>
      </c>
      <c r="K1258" s="2825"/>
      <c r="L1258" s="2844">
        <v>0</v>
      </c>
      <c r="M1258" s="2826"/>
      <c r="N1258" s="2844">
        <v>0</v>
      </c>
      <c r="O1258" s="2827"/>
      <c r="P1258" s="2847"/>
      <c r="Q1258" s="2849"/>
      <c r="R1258" s="2852">
        <f t="shared" si="20"/>
        <v>0</v>
      </c>
      <c r="T1258" s="2871"/>
    </row>
    <row r="1259" spans="9:23" ht="13.5">
      <c r="I1259" s="2832" t="s">
        <v>5232</v>
      </c>
      <c r="J1259" s="2833" t="s">
        <v>5306</v>
      </c>
      <c r="K1259" s="2834"/>
      <c r="L1259" s="2844"/>
      <c r="M1259" s="2868"/>
      <c r="N1259" s="2844"/>
      <c r="O1259" s="2831">
        <v>42</v>
      </c>
      <c r="P1259" s="2848">
        <f t="shared" ref="P1259:P1264" si="22">IF(O1259&gt;25,150,(O1259)*6)</f>
        <v>150</v>
      </c>
      <c r="Q1259" s="2850"/>
      <c r="R1259" s="2852">
        <f t="shared" si="20"/>
        <v>150</v>
      </c>
      <c r="S1259" s="2862" t="s">
        <v>5275</v>
      </c>
      <c r="T1259" s="2871">
        <v>9.9999999999999991E-22</v>
      </c>
    </row>
    <row r="1260" spans="9:23" ht="13.5">
      <c r="I1260" s="2867" t="s">
        <v>5194</v>
      </c>
      <c r="J1260" s="2828" t="s">
        <v>5251</v>
      </c>
      <c r="K1260" s="2825"/>
      <c r="L1260" s="2844">
        <v>0</v>
      </c>
      <c r="M1260" s="2826"/>
      <c r="N1260" s="2844">
        <v>0</v>
      </c>
      <c r="O1260" s="2831">
        <v>1</v>
      </c>
      <c r="P1260" s="2848">
        <f t="shared" si="22"/>
        <v>6</v>
      </c>
      <c r="Q1260" s="2850"/>
      <c r="R1260" s="2852">
        <f t="shared" si="20"/>
        <v>6</v>
      </c>
      <c r="T1260" s="2871"/>
    </row>
    <row r="1261" spans="9:23" ht="13.5">
      <c r="I1261" s="2867" t="s">
        <v>5237</v>
      </c>
      <c r="J1261" s="2828" t="s">
        <v>5238</v>
      </c>
      <c r="K1261" s="2834"/>
      <c r="L1261" s="2844"/>
      <c r="M1261" s="2868"/>
      <c r="N1261" s="2844"/>
      <c r="O1261" s="2831">
        <v>35</v>
      </c>
      <c r="P1261" s="2848">
        <f t="shared" si="22"/>
        <v>150</v>
      </c>
      <c r="Q1261" s="2850"/>
      <c r="R1261" s="2852">
        <f t="shared" si="20"/>
        <v>150</v>
      </c>
      <c r="S1261" s="2808"/>
      <c r="T1261" s="2871"/>
    </row>
    <row r="1262" spans="9:23" ht="13.5">
      <c r="I1262" s="2867" t="s">
        <v>5101</v>
      </c>
      <c r="J1262" s="2828" t="s">
        <v>5289</v>
      </c>
      <c r="K1262" s="2825"/>
      <c r="L1262" s="2844">
        <f>+K1262*3</f>
        <v>0</v>
      </c>
      <c r="M1262" s="2826"/>
      <c r="N1262" s="2844">
        <v>0</v>
      </c>
      <c r="O1262" s="2831">
        <v>37</v>
      </c>
      <c r="P1262" s="2848">
        <f t="shared" si="22"/>
        <v>150</v>
      </c>
      <c r="Q1262" s="2850"/>
      <c r="R1262" s="2852">
        <f t="shared" si="20"/>
        <v>150</v>
      </c>
      <c r="T1262" s="2871"/>
    </row>
    <row r="1263" spans="9:23" ht="13.5">
      <c r="I1263" s="2867" t="s">
        <v>5285</v>
      </c>
      <c r="J1263" s="2830" t="s">
        <v>5284</v>
      </c>
      <c r="K1263" s="2825"/>
      <c r="L1263" s="2844">
        <v>0</v>
      </c>
      <c r="M1263" s="2826"/>
      <c r="N1263" s="2844">
        <f>+M1263*3</f>
        <v>0</v>
      </c>
      <c r="O1263" s="2827"/>
      <c r="P1263" s="2847"/>
      <c r="Q1263" s="2849"/>
      <c r="R1263" s="2852">
        <f t="shared" si="20"/>
        <v>0</v>
      </c>
      <c r="T1263" s="2871"/>
    </row>
    <row r="1264" spans="9:23" ht="13.5">
      <c r="I1264" s="2867" t="s">
        <v>5121</v>
      </c>
      <c r="J1264" s="2830" t="s">
        <v>5122</v>
      </c>
      <c r="K1264" s="2825"/>
      <c r="L1264" s="2844">
        <v>0</v>
      </c>
      <c r="M1264" s="2826"/>
      <c r="N1264" s="2844">
        <f>+M1264*3</f>
        <v>0</v>
      </c>
      <c r="O1264" s="2831">
        <v>35</v>
      </c>
      <c r="P1264" s="2848">
        <f t="shared" si="22"/>
        <v>150</v>
      </c>
      <c r="Q1264" s="2849"/>
      <c r="R1264" s="2852">
        <f t="shared" si="20"/>
        <v>150</v>
      </c>
      <c r="T1264" s="2871">
        <v>37.5</v>
      </c>
      <c r="U1264">
        <v>3</v>
      </c>
    </row>
    <row r="1265" spans="4:23" ht="13.5">
      <c r="I1265" s="2867" t="s">
        <v>5102</v>
      </c>
      <c r="J1265" s="2830" t="s">
        <v>5098</v>
      </c>
      <c r="K1265" s="2825"/>
      <c r="L1265" s="2844">
        <f>+K1265*3</f>
        <v>0</v>
      </c>
      <c r="M1265" s="2826"/>
      <c r="N1265" s="2844">
        <f>+M1265*3</f>
        <v>0</v>
      </c>
      <c r="O1265" s="2827"/>
      <c r="P1265" s="2847"/>
      <c r="Q1265" s="2849"/>
      <c r="R1265" s="2852">
        <f t="shared" si="20"/>
        <v>0</v>
      </c>
      <c r="T1265" s="2871"/>
    </row>
    <row r="1266" spans="4:23" ht="13.5">
      <c r="D1266" s="2866"/>
      <c r="I1266" s="2867" t="s">
        <v>5312</v>
      </c>
      <c r="J1266" s="2830" t="s">
        <v>5313</v>
      </c>
      <c r="K1266" s="2825"/>
      <c r="L1266" s="2844">
        <v>0</v>
      </c>
      <c r="M1266" s="2826"/>
      <c r="N1266" s="2844">
        <f>+M1266*3</f>
        <v>0</v>
      </c>
      <c r="O1266" s="2831">
        <v>29</v>
      </c>
      <c r="P1266" s="2848">
        <f>IF(O1266&gt;25,150,(O1266)*6)</f>
        <v>150</v>
      </c>
      <c r="Q1266" s="2849"/>
      <c r="R1266" s="2852">
        <f>+L1266+N1266+P1266+Q1266</f>
        <v>150</v>
      </c>
      <c r="T1266" s="2871"/>
    </row>
    <row r="1267" spans="4:23" ht="13.5">
      <c r="I1267" s="2837" t="s">
        <v>5103</v>
      </c>
      <c r="J1267" s="2838" t="s">
        <v>5240</v>
      </c>
      <c r="K1267" s="2834"/>
      <c r="L1267" s="2844"/>
      <c r="M1267" s="2868"/>
      <c r="N1267" s="2844"/>
      <c r="O1267" s="2831"/>
      <c r="P1267" s="2848">
        <f>IF(O1267&gt;25,150,(O1267)*6)</f>
        <v>0</v>
      </c>
      <c r="Q1267" s="2850"/>
      <c r="R1267" s="2853">
        <f t="shared" si="20"/>
        <v>0</v>
      </c>
      <c r="S1267" s="2808"/>
      <c r="T1267" s="2871"/>
    </row>
    <row r="1268" spans="4:23" ht="13.5">
      <c r="I1268" s="2839"/>
      <c r="J1268" s="2840"/>
      <c r="K1268" s="2869">
        <f t="shared" ref="K1268:Q1268" si="23">SUM(K1241:K1267)</f>
        <v>0</v>
      </c>
      <c r="L1268" s="2845">
        <f t="shared" si="23"/>
        <v>0</v>
      </c>
      <c r="M1268" s="2869">
        <f t="shared" si="23"/>
        <v>0</v>
      </c>
      <c r="N1268" s="2845">
        <f t="shared" si="23"/>
        <v>0</v>
      </c>
      <c r="O1268" s="2869">
        <f t="shared" si="23"/>
        <v>545</v>
      </c>
      <c r="P1268" s="2843">
        <f t="shared" si="23"/>
        <v>2448</v>
      </c>
      <c r="Q1268" s="2843">
        <f t="shared" si="23"/>
        <v>0</v>
      </c>
      <c r="R1268" s="2845">
        <f t="shared" si="20"/>
        <v>2448</v>
      </c>
      <c r="S1268" s="96"/>
      <c r="T1268" s="2872"/>
      <c r="U1268" s="96"/>
      <c r="V1268" s="96"/>
      <c r="W1268" s="96"/>
    </row>
    <row r="1270" spans="4:23" ht="13.5">
      <c r="I1270" s="3830" t="s">
        <v>5315</v>
      </c>
      <c r="J1270" s="3830"/>
      <c r="K1270" s="3830"/>
      <c r="L1270" s="3830"/>
      <c r="M1270" s="3830"/>
      <c r="N1270" s="3830"/>
      <c r="O1270" s="3830"/>
      <c r="P1270" s="3830"/>
      <c r="Q1270" s="3830"/>
      <c r="R1270" s="3830"/>
      <c r="T1270" s="2873"/>
    </row>
    <row r="1271" spans="4:23" ht="13.5">
      <c r="I1271" s="2821"/>
      <c r="J1271" s="2821"/>
      <c r="K1271" s="3831" t="s">
        <v>5286</v>
      </c>
      <c r="L1271" s="3832"/>
      <c r="M1271" s="3832"/>
      <c r="N1271" s="3833"/>
      <c r="O1271" s="3832" t="s">
        <v>4643</v>
      </c>
      <c r="P1271" s="3833"/>
      <c r="Q1271" s="2821"/>
      <c r="R1271" s="2821"/>
      <c r="T1271" s="2873"/>
    </row>
    <row r="1272" spans="4:23" ht="40.5">
      <c r="I1272" s="2841" t="s">
        <v>1600</v>
      </c>
      <c r="J1272" s="2841" t="s">
        <v>2067</v>
      </c>
      <c r="K1272" s="2822" t="s">
        <v>5131</v>
      </c>
      <c r="L1272" s="2822" t="s">
        <v>5301</v>
      </c>
      <c r="M1272" s="2822" t="s">
        <v>5131</v>
      </c>
      <c r="N1272" s="2822" t="s">
        <v>5302</v>
      </c>
      <c r="O1272" s="2822" t="s">
        <v>5131</v>
      </c>
      <c r="P1272" s="2822" t="s">
        <v>5317</v>
      </c>
      <c r="Q1272" s="2822" t="s">
        <v>5316</v>
      </c>
      <c r="R1272" s="2842" t="s">
        <v>5294</v>
      </c>
      <c r="T1272" s="2870" t="s">
        <v>5321</v>
      </c>
    </row>
    <row r="1273" spans="4:23" ht="13.5">
      <c r="I1273" s="2823" t="s">
        <v>5281</v>
      </c>
      <c r="J1273" s="2824" t="s">
        <v>5280</v>
      </c>
      <c r="K1273" s="2825">
        <v>10</v>
      </c>
      <c r="L1273" s="2846">
        <f>+K1273*3</f>
        <v>30</v>
      </c>
      <c r="M1273" s="2826"/>
      <c r="N1273" s="2844">
        <f>+M1273*3</f>
        <v>0</v>
      </c>
      <c r="O1273" s="2827"/>
      <c r="P1273" s="2847"/>
      <c r="Q1273" s="2849">
        <v>300</v>
      </c>
      <c r="R1273" s="2851">
        <f>+L1273+N1273+P1273+Q1273</f>
        <v>330</v>
      </c>
      <c r="T1273" s="2871"/>
    </row>
    <row r="1274" spans="4:23" ht="13.5">
      <c r="I1274" s="2875" t="s">
        <v>3050</v>
      </c>
      <c r="J1274" s="2830" t="s">
        <v>5095</v>
      </c>
      <c r="K1274" s="2825">
        <v>18</v>
      </c>
      <c r="L1274" s="2844">
        <f>+K1274*3</f>
        <v>54</v>
      </c>
      <c r="M1274" s="2826"/>
      <c r="N1274" s="2844">
        <v>0</v>
      </c>
      <c r="O1274" s="2827"/>
      <c r="P1274" s="2847"/>
      <c r="Q1274" s="2849"/>
      <c r="R1274" s="2852">
        <f t="shared" ref="R1274:R1302" si="24">+L1274+N1274+P1274+Q1274</f>
        <v>54</v>
      </c>
      <c r="T1274" s="2871"/>
    </row>
    <row r="1275" spans="4:23" ht="13.5">
      <c r="I1275" s="2875" t="s">
        <v>706</v>
      </c>
      <c r="J1275" s="2828" t="s">
        <v>5254</v>
      </c>
      <c r="K1275" s="2825">
        <v>30</v>
      </c>
      <c r="L1275" s="2844">
        <f>+K1275*3</f>
        <v>90</v>
      </c>
      <c r="M1275" s="2826"/>
      <c r="N1275" s="2844">
        <f>+M1275*3</f>
        <v>0</v>
      </c>
      <c r="O1275" s="2831"/>
      <c r="P1275" s="2848">
        <f>IF(O1275&gt;25,150,(O1275)*6)</f>
        <v>0</v>
      </c>
      <c r="Q1275" s="2850">
        <v>50</v>
      </c>
      <c r="R1275" s="2852">
        <f t="shared" si="24"/>
        <v>140</v>
      </c>
      <c r="T1275" s="2871"/>
      <c r="U1275" s="3828">
        <v>43082</v>
      </c>
      <c r="V1275" s="3829"/>
    </row>
    <row r="1276" spans="4:23" ht="13.5">
      <c r="I1276" s="2875" t="s">
        <v>4269</v>
      </c>
      <c r="J1276" s="2828" t="s">
        <v>5255</v>
      </c>
      <c r="K1276" s="2834" t="s">
        <v>5018</v>
      </c>
      <c r="L1276" s="2844"/>
      <c r="M1276" s="2876"/>
      <c r="N1276" s="2844"/>
      <c r="O1276" s="2831">
        <v>39</v>
      </c>
      <c r="P1276" s="2848">
        <f>IF(O1276&gt;25,150,(O1276)*6)</f>
        <v>150</v>
      </c>
      <c r="Q1276" s="2850"/>
      <c r="R1276" s="2852">
        <f t="shared" si="24"/>
        <v>150</v>
      </c>
      <c r="T1276" s="2871">
        <v>50</v>
      </c>
    </row>
    <row r="1277" spans="4:23" ht="13.5">
      <c r="I1277" s="2875" t="s">
        <v>290</v>
      </c>
      <c r="J1277" s="2830" t="s">
        <v>464</v>
      </c>
      <c r="K1277" s="2825">
        <v>42</v>
      </c>
      <c r="L1277" s="2844">
        <f>+K1277*5</f>
        <v>210</v>
      </c>
      <c r="M1277" s="2826"/>
      <c r="N1277" s="2844">
        <f>+M1277*5</f>
        <v>0</v>
      </c>
      <c r="O1277" s="2827"/>
      <c r="P1277" s="2847"/>
      <c r="Q1277" s="2849"/>
      <c r="R1277" s="2852">
        <f t="shared" si="24"/>
        <v>210</v>
      </c>
      <c r="T1277" s="2888">
        <v>200</v>
      </c>
    </row>
    <row r="1278" spans="4:23" ht="13.5">
      <c r="D1278" s="2874"/>
      <c r="I1278" s="2875" t="s">
        <v>646</v>
      </c>
      <c r="J1278" s="2828" t="s">
        <v>5318</v>
      </c>
      <c r="K1278" s="2825">
        <v>24</v>
      </c>
      <c r="L1278" s="2844">
        <f>+K1278*3</f>
        <v>72</v>
      </c>
      <c r="M1278" s="2876"/>
      <c r="N1278" s="2844"/>
      <c r="O1278" s="2831"/>
      <c r="P1278" s="2848">
        <f>IF(O1278&gt;25,150,(O1278)*6)</f>
        <v>0</v>
      </c>
      <c r="Q1278" s="2850"/>
      <c r="R1278" s="2852">
        <f>+L1278+N1278+P1278+Q1278</f>
        <v>72</v>
      </c>
      <c r="T1278" s="2871"/>
    </row>
    <row r="1279" spans="4:23" ht="13.5">
      <c r="I1279" s="2875" t="s">
        <v>5217</v>
      </c>
      <c r="J1279" s="2828" t="s">
        <v>5218</v>
      </c>
      <c r="K1279" s="2825">
        <v>21</v>
      </c>
      <c r="L1279" s="2844">
        <v>0</v>
      </c>
      <c r="M1279" s="2876"/>
      <c r="N1279" s="2844"/>
      <c r="O1279" s="2831"/>
      <c r="P1279" s="2848">
        <f>IF(O1279&gt;25,150,(O1279)*6)</f>
        <v>0</v>
      </c>
      <c r="Q1279" s="2850"/>
      <c r="R1279" s="2852">
        <f t="shared" si="24"/>
        <v>0</v>
      </c>
      <c r="T1279" s="2871"/>
    </row>
    <row r="1280" spans="4:23" ht="13.5">
      <c r="I1280" s="2875" t="s">
        <v>416</v>
      </c>
      <c r="J1280" s="2828" t="s">
        <v>5219</v>
      </c>
      <c r="K1280" s="2834" t="s">
        <v>5018</v>
      </c>
      <c r="L1280" s="2844"/>
      <c r="M1280" s="2876"/>
      <c r="N1280" s="2844"/>
      <c r="O1280" s="2831">
        <v>36</v>
      </c>
      <c r="P1280" s="2848">
        <f t="shared" ref="P1280:P1290" si="25">IF(O1280&gt;25,150,(O1280)*6)</f>
        <v>150</v>
      </c>
      <c r="Q1280" s="2850"/>
      <c r="R1280" s="2852">
        <f t="shared" si="24"/>
        <v>150</v>
      </c>
      <c r="T1280" s="2888">
        <v>53</v>
      </c>
    </row>
    <row r="1281" spans="4:22" ht="13.5">
      <c r="I1281" s="2875" t="s">
        <v>5193</v>
      </c>
      <c r="J1281" s="2828" t="s">
        <v>5224</v>
      </c>
      <c r="K1281" s="2834" t="s">
        <v>5018</v>
      </c>
      <c r="L1281" s="2844"/>
      <c r="M1281" s="2876"/>
      <c r="N1281" s="2844"/>
      <c r="O1281" s="2831">
        <v>29</v>
      </c>
      <c r="P1281" s="2848">
        <f t="shared" si="25"/>
        <v>150</v>
      </c>
      <c r="Q1281" s="2850"/>
      <c r="R1281" s="2852">
        <f t="shared" si="24"/>
        <v>150</v>
      </c>
      <c r="T1281" s="2871"/>
      <c r="V1281">
        <v>372</v>
      </c>
    </row>
    <row r="1282" spans="4:22" ht="13.5">
      <c r="I1282" s="2875" t="s">
        <v>5128</v>
      </c>
      <c r="J1282" s="2828" t="s">
        <v>5220</v>
      </c>
      <c r="K1282" s="2825" t="s">
        <v>5018</v>
      </c>
      <c r="L1282" s="2844">
        <v>0</v>
      </c>
      <c r="M1282" s="2826"/>
      <c r="N1282" s="2844">
        <v>0</v>
      </c>
      <c r="O1282" s="2831">
        <v>18</v>
      </c>
      <c r="P1282" s="2848">
        <f t="shared" si="25"/>
        <v>108</v>
      </c>
      <c r="Q1282" s="2850"/>
      <c r="R1282" s="2852">
        <f t="shared" si="24"/>
        <v>108</v>
      </c>
      <c r="T1282" s="2871"/>
      <c r="V1282">
        <v>62</v>
      </c>
    </row>
    <row r="1283" spans="4:22" ht="13.5">
      <c r="I1283" s="2875" t="s">
        <v>5118</v>
      </c>
      <c r="J1283" s="2830" t="s">
        <v>5319</v>
      </c>
      <c r="K1283" s="2825">
        <v>35</v>
      </c>
      <c r="L1283" s="2844">
        <f>+K1283*3</f>
        <v>105</v>
      </c>
      <c r="M1283" s="2826"/>
      <c r="N1283" s="2844">
        <f>+M1283*3</f>
        <v>0</v>
      </c>
      <c r="O1283" s="2831"/>
      <c r="P1283" s="2848">
        <f t="shared" si="25"/>
        <v>0</v>
      </c>
      <c r="Q1283" s="2849"/>
      <c r="R1283" s="2852">
        <f t="shared" si="24"/>
        <v>105</v>
      </c>
      <c r="T1283" s="2871"/>
      <c r="V1283">
        <f>+V1282+V1281</f>
        <v>434</v>
      </c>
    </row>
    <row r="1284" spans="4:22" ht="13.5">
      <c r="I1284" s="2875" t="s">
        <v>5222</v>
      </c>
      <c r="J1284" s="2828" t="s">
        <v>5223</v>
      </c>
      <c r="K1284" s="2834"/>
      <c r="L1284" s="2844"/>
      <c r="M1284" s="2876"/>
      <c r="N1284" s="2844"/>
      <c r="O1284" s="2831"/>
      <c r="P1284" s="2848">
        <f t="shared" si="25"/>
        <v>0</v>
      </c>
      <c r="Q1284" s="2850"/>
      <c r="R1284" s="2852">
        <f t="shared" si="24"/>
        <v>0</v>
      </c>
      <c r="T1284" s="2871"/>
    </row>
    <row r="1285" spans="4:22" ht="13.5">
      <c r="I1285" s="2875" t="s">
        <v>5252</v>
      </c>
      <c r="J1285" s="2828" t="s">
        <v>5253</v>
      </c>
      <c r="K1285" s="2825">
        <v>26</v>
      </c>
      <c r="L1285" s="2844">
        <f>+K1285*3</f>
        <v>78</v>
      </c>
      <c r="M1285" s="2826"/>
      <c r="N1285" s="2844">
        <f>+M1285*3</f>
        <v>0</v>
      </c>
      <c r="O1285" s="2831"/>
      <c r="P1285" s="2848">
        <f t="shared" si="25"/>
        <v>0</v>
      </c>
      <c r="Q1285" s="2850"/>
      <c r="R1285" s="2852">
        <f t="shared" si="24"/>
        <v>78</v>
      </c>
      <c r="T1285" s="2871"/>
      <c r="V1285">
        <v>555.6</v>
      </c>
    </row>
    <row r="1286" spans="4:22" ht="13.5">
      <c r="I1286" s="2875" t="s">
        <v>793</v>
      </c>
      <c r="J1286" s="2828" t="s">
        <v>5226</v>
      </c>
      <c r="K1286" s="2834" t="s">
        <v>5018</v>
      </c>
      <c r="L1286" s="2844"/>
      <c r="M1286" s="2876"/>
      <c r="N1286" s="2844"/>
      <c r="O1286" s="2831">
        <v>30</v>
      </c>
      <c r="P1286" s="2848">
        <f t="shared" si="25"/>
        <v>150</v>
      </c>
      <c r="Q1286" s="2850"/>
      <c r="R1286" s="2852">
        <f t="shared" si="24"/>
        <v>150</v>
      </c>
      <c r="T1286" s="2871"/>
      <c r="V1286">
        <f>+V1285*0.13</f>
        <v>72.228000000000009</v>
      </c>
    </row>
    <row r="1287" spans="4:22" ht="13.5">
      <c r="I1287" s="2875" t="s">
        <v>5227</v>
      </c>
      <c r="J1287" s="2828" t="s">
        <v>5228</v>
      </c>
      <c r="K1287" s="2834" t="s">
        <v>5018</v>
      </c>
      <c r="L1287" s="2844"/>
      <c r="M1287" s="2876"/>
      <c r="N1287" s="2844"/>
      <c r="O1287" s="2831">
        <v>25</v>
      </c>
      <c r="P1287" s="2848">
        <f t="shared" si="25"/>
        <v>150</v>
      </c>
      <c r="Q1287" s="2850"/>
      <c r="R1287" s="2852">
        <f t="shared" si="24"/>
        <v>150</v>
      </c>
      <c r="T1287" s="2871"/>
    </row>
    <row r="1288" spans="4:22" ht="13.5">
      <c r="I1288" s="2875" t="s">
        <v>5287</v>
      </c>
      <c r="J1288" s="2828" t="s">
        <v>5288</v>
      </c>
      <c r="K1288" s="2834"/>
      <c r="L1288" s="2844"/>
      <c r="M1288" s="2876"/>
      <c r="N1288" s="2844"/>
      <c r="O1288" s="2831">
        <v>29</v>
      </c>
      <c r="P1288" s="2848">
        <f t="shared" si="25"/>
        <v>150</v>
      </c>
      <c r="Q1288" s="2850"/>
      <c r="R1288" s="2852">
        <f t="shared" si="24"/>
        <v>150</v>
      </c>
      <c r="T1288" s="2871"/>
    </row>
    <row r="1289" spans="4:22" ht="13.5">
      <c r="I1289" s="2875" t="s">
        <v>5100</v>
      </c>
      <c r="J1289" s="2828" t="s">
        <v>5229</v>
      </c>
      <c r="K1289" s="2834" t="s">
        <v>5018</v>
      </c>
      <c r="L1289" s="2844"/>
      <c r="M1289" s="2876"/>
      <c r="N1289" s="2844"/>
      <c r="O1289" s="2831">
        <v>29</v>
      </c>
      <c r="P1289" s="2848">
        <f t="shared" si="25"/>
        <v>150</v>
      </c>
      <c r="Q1289" s="2850"/>
      <c r="R1289" s="2852">
        <f t="shared" si="24"/>
        <v>150</v>
      </c>
      <c r="T1289" s="2871"/>
    </row>
    <row r="1290" spans="4:22" ht="13.5">
      <c r="I1290" s="2875" t="s">
        <v>5230</v>
      </c>
      <c r="J1290" s="2828" t="s">
        <v>5231</v>
      </c>
      <c r="K1290" s="2834" t="s">
        <v>5018</v>
      </c>
      <c r="L1290" s="2844"/>
      <c r="M1290" s="2876"/>
      <c r="N1290" s="2844"/>
      <c r="O1290" s="2831">
        <v>29</v>
      </c>
      <c r="P1290" s="2848">
        <f t="shared" si="25"/>
        <v>150</v>
      </c>
      <c r="Q1290" s="2850"/>
      <c r="R1290" s="2852">
        <f t="shared" si="24"/>
        <v>150</v>
      </c>
      <c r="T1290" s="2888">
        <v>77</v>
      </c>
    </row>
    <row r="1291" spans="4:22" s="2890" customFormat="1" ht="13.5">
      <c r="D1291" s="2889"/>
      <c r="F1291" s="2891"/>
      <c r="I1291" s="2832" t="s">
        <v>5120</v>
      </c>
      <c r="J1291" s="2836" t="s">
        <v>3321</v>
      </c>
      <c r="K1291" s="2892">
        <v>19</v>
      </c>
      <c r="L1291" s="2893">
        <f>+K1291*3</f>
        <v>57</v>
      </c>
      <c r="M1291" s="2894"/>
      <c r="N1291" s="2893">
        <v>0</v>
      </c>
      <c r="O1291" s="2895"/>
      <c r="P1291" s="2896"/>
      <c r="Q1291" s="2897"/>
      <c r="R1291" s="2898">
        <f t="shared" si="24"/>
        <v>57</v>
      </c>
      <c r="T1291" s="2888"/>
      <c r="U1291" s="2899" t="s">
        <v>5322</v>
      </c>
    </row>
    <row r="1292" spans="4:22" ht="13.5">
      <c r="I1292" s="2875" t="s">
        <v>5232</v>
      </c>
      <c r="J1292" s="2828" t="s">
        <v>5233</v>
      </c>
      <c r="K1292" s="2834" t="s">
        <v>5018</v>
      </c>
      <c r="L1292" s="2844"/>
      <c r="M1292" s="2876"/>
      <c r="N1292" s="2844"/>
      <c r="O1292" s="2831">
        <v>39</v>
      </c>
      <c r="P1292" s="2848">
        <f>IF(O1292&gt;25,150,(O1292)*6)</f>
        <v>150</v>
      </c>
      <c r="Q1292" s="2850"/>
      <c r="R1292" s="2852">
        <f t="shared" si="24"/>
        <v>150</v>
      </c>
      <c r="T1292" s="2888">
        <v>75</v>
      </c>
    </row>
    <row r="1293" spans="4:22" ht="13.5">
      <c r="I1293" s="2875" t="s">
        <v>5194</v>
      </c>
      <c r="J1293" s="2828" t="s">
        <v>5251</v>
      </c>
      <c r="K1293" s="2825" t="s">
        <v>5018</v>
      </c>
      <c r="L1293" s="2844">
        <v>0</v>
      </c>
      <c r="M1293" s="2826"/>
      <c r="N1293" s="2844">
        <v>0</v>
      </c>
      <c r="O1293" s="2831">
        <v>28</v>
      </c>
      <c r="P1293" s="2848">
        <f>IF(O1293&gt;25,150,(O1293)*6)</f>
        <v>150</v>
      </c>
      <c r="Q1293" s="2850"/>
      <c r="R1293" s="2852">
        <f t="shared" si="24"/>
        <v>150</v>
      </c>
      <c r="T1293" s="2871"/>
    </row>
    <row r="1294" spans="4:22" ht="13.5">
      <c r="I1294" s="2875" t="s">
        <v>5285</v>
      </c>
      <c r="J1294" s="2830" t="s">
        <v>5284</v>
      </c>
      <c r="K1294" s="2825"/>
      <c r="L1294" s="2844">
        <v>0</v>
      </c>
      <c r="M1294" s="2826"/>
      <c r="N1294" s="2844">
        <f>+M1294*3</f>
        <v>0</v>
      </c>
      <c r="O1294" s="2827"/>
      <c r="P1294" s="2847"/>
      <c r="Q1294" s="2849"/>
      <c r="R1294" s="2852">
        <f t="shared" si="24"/>
        <v>0</v>
      </c>
      <c r="T1294" s="2871"/>
    </row>
    <row r="1295" spans="4:22" ht="13.5">
      <c r="I1295" s="2875" t="s">
        <v>5121</v>
      </c>
      <c r="J1295" s="2830" t="s">
        <v>5122</v>
      </c>
      <c r="K1295" s="2825"/>
      <c r="L1295" s="2844">
        <v>0</v>
      </c>
      <c r="M1295" s="2826"/>
      <c r="N1295" s="2844">
        <f>+M1295*3</f>
        <v>0</v>
      </c>
      <c r="O1295" s="2831">
        <v>31</v>
      </c>
      <c r="P1295" s="2848">
        <f>IF(O1295&gt;25,150,(O1295)*6)</f>
        <v>150</v>
      </c>
      <c r="Q1295" s="2849"/>
      <c r="R1295" s="2852">
        <f t="shared" si="24"/>
        <v>150</v>
      </c>
      <c r="T1295" s="2888">
        <v>37.5</v>
      </c>
      <c r="U1295">
        <v>2</v>
      </c>
    </row>
    <row r="1296" spans="4:22" ht="13.5">
      <c r="D1296" s="2874"/>
      <c r="I1296" s="2875" t="s">
        <v>5235</v>
      </c>
      <c r="J1296" s="2830" t="s">
        <v>5320</v>
      </c>
      <c r="K1296" s="2825"/>
      <c r="L1296" s="2844">
        <v>0</v>
      </c>
      <c r="M1296" s="2826"/>
      <c r="N1296" s="2844">
        <f>+M1296*3</f>
        <v>0</v>
      </c>
      <c r="O1296" s="2831">
        <v>35</v>
      </c>
      <c r="P1296" s="2848">
        <f>IF(O1296&gt;25,150,(O1296)*6)</f>
        <v>150</v>
      </c>
      <c r="Q1296" s="2849"/>
      <c r="R1296" s="2852">
        <f>+L1296+N1296+P1296+Q1296</f>
        <v>150</v>
      </c>
      <c r="T1296" s="2871"/>
    </row>
    <row r="1297" spans="9:23" ht="13.5">
      <c r="I1297" s="2875" t="s">
        <v>5237</v>
      </c>
      <c r="J1297" s="2828" t="s">
        <v>5238</v>
      </c>
      <c r="K1297" s="2875">
        <v>10</v>
      </c>
      <c r="L1297" s="2844">
        <f>+K1297*3</f>
        <v>30</v>
      </c>
      <c r="M1297" s="2876"/>
      <c r="N1297" s="2844"/>
      <c r="O1297" s="2831">
        <v>1</v>
      </c>
      <c r="P1297" s="2848">
        <f>IF(O1297&gt;25,150,(O1297)*6)</f>
        <v>6</v>
      </c>
      <c r="Q1297" s="2850"/>
      <c r="R1297" s="2852">
        <f>+L1297+N1297+P1297+Q1297</f>
        <v>36</v>
      </c>
      <c r="S1297" s="2808"/>
      <c r="T1297" s="2871"/>
    </row>
    <row r="1298" spans="9:23" ht="13.5">
      <c r="I1298" s="2875" t="s">
        <v>5101</v>
      </c>
      <c r="J1298" s="2828" t="s">
        <v>5289</v>
      </c>
      <c r="K1298" s="2825"/>
      <c r="L1298" s="2844">
        <f>+K1298*3</f>
        <v>0</v>
      </c>
      <c r="M1298" s="2826"/>
      <c r="N1298" s="2844">
        <v>0</v>
      </c>
      <c r="O1298" s="2831">
        <v>38</v>
      </c>
      <c r="P1298" s="2848">
        <f>IF(O1298&gt;25,150,(O1298)*6)</f>
        <v>150</v>
      </c>
      <c r="Q1298" s="2850"/>
      <c r="R1298" s="2852">
        <f>+L1298+N1298+P1298+Q1298</f>
        <v>150</v>
      </c>
      <c r="T1298" s="2871"/>
    </row>
    <row r="1299" spans="9:23" ht="13.5">
      <c r="I1299" s="2875" t="s">
        <v>5102</v>
      </c>
      <c r="J1299" s="2830" t="s">
        <v>5098</v>
      </c>
      <c r="K1299" s="2825">
        <v>43</v>
      </c>
      <c r="L1299" s="2844">
        <f>+K1299*3</f>
        <v>129</v>
      </c>
      <c r="M1299" s="2826"/>
      <c r="N1299" s="2844">
        <f>+M1299*3</f>
        <v>0</v>
      </c>
      <c r="O1299" s="2827"/>
      <c r="P1299" s="2847"/>
      <c r="Q1299" s="2849"/>
      <c r="R1299" s="2852">
        <f t="shared" si="24"/>
        <v>129</v>
      </c>
      <c r="T1299" s="2871"/>
    </row>
    <row r="1300" spans="9:23" ht="13.5">
      <c r="I1300" s="2875" t="s">
        <v>5103</v>
      </c>
      <c r="J1300" s="2828" t="s">
        <v>5240</v>
      </c>
      <c r="K1300" s="2834" t="s">
        <v>5018</v>
      </c>
      <c r="L1300" s="2844"/>
      <c r="M1300" s="2876"/>
      <c r="N1300" s="2844"/>
      <c r="O1300" s="2831">
        <v>30</v>
      </c>
      <c r="P1300" s="2848">
        <f>IF(O1300&gt;25,150,(O1300)*6)</f>
        <v>150</v>
      </c>
      <c r="Q1300" s="2850"/>
      <c r="R1300" s="2852">
        <f>+L1300+N1300+P1300+Q1300</f>
        <v>150</v>
      </c>
      <c r="S1300" s="2808"/>
      <c r="T1300" s="2871"/>
    </row>
    <row r="1301" spans="9:23" ht="13.5">
      <c r="I1301" s="2837" t="s">
        <v>5312</v>
      </c>
      <c r="J1301" s="2880" t="s">
        <v>5313</v>
      </c>
      <c r="K1301" s="2881" t="s">
        <v>5018</v>
      </c>
      <c r="L1301" s="2882">
        <v>0</v>
      </c>
      <c r="M1301" s="2883"/>
      <c r="N1301" s="2882">
        <f>+M1301*3</f>
        <v>0</v>
      </c>
      <c r="O1301" s="2884">
        <v>18</v>
      </c>
      <c r="P1301" s="2885">
        <f>IF(O1301&gt;25,150,(O1301)*6)</f>
        <v>108</v>
      </c>
      <c r="Q1301" s="2886"/>
      <c r="R1301" s="2853">
        <f t="shared" si="24"/>
        <v>108</v>
      </c>
      <c r="T1301" s="2871"/>
    </row>
    <row r="1302" spans="9:23" ht="13.5">
      <c r="I1302" s="2839"/>
      <c r="J1302" s="2840"/>
      <c r="K1302" s="2877">
        <f t="shared" ref="K1302:Q1302" si="26">SUM(K1273:K1301)</f>
        <v>278</v>
      </c>
      <c r="L1302" s="2878">
        <f t="shared" si="26"/>
        <v>855</v>
      </c>
      <c r="M1302" s="2877">
        <f t="shared" si="26"/>
        <v>0</v>
      </c>
      <c r="N1302" s="2878">
        <f t="shared" si="26"/>
        <v>0</v>
      </c>
      <c r="O1302" s="2877">
        <f t="shared" si="26"/>
        <v>484</v>
      </c>
      <c r="P1302" s="2879">
        <f t="shared" si="26"/>
        <v>2322</v>
      </c>
      <c r="Q1302" s="2879">
        <f t="shared" si="26"/>
        <v>350</v>
      </c>
      <c r="R1302" s="2878">
        <f t="shared" si="24"/>
        <v>3527</v>
      </c>
      <c r="S1302" s="96"/>
      <c r="T1302" s="2887">
        <f>SUM(T1273:T1301)</f>
        <v>492.5</v>
      </c>
      <c r="U1302" s="96"/>
      <c r="V1302" s="96"/>
      <c r="W1302" s="96"/>
    </row>
    <row r="1304" spans="9:23" ht="13.5">
      <c r="I1304" s="3830" t="s">
        <v>5323</v>
      </c>
      <c r="J1304" s="3830"/>
      <c r="K1304" s="3830"/>
      <c r="L1304" s="3830"/>
      <c r="M1304" s="3830"/>
      <c r="N1304" s="3830"/>
      <c r="O1304" s="3830"/>
      <c r="P1304" s="3830"/>
      <c r="Q1304" s="3830"/>
      <c r="R1304" s="3830"/>
      <c r="T1304" s="2873"/>
    </row>
    <row r="1305" spans="9:23" ht="13.5">
      <c r="I1305" s="2821"/>
      <c r="J1305" s="2821"/>
      <c r="K1305" s="3831" t="s">
        <v>5286</v>
      </c>
      <c r="L1305" s="3832"/>
      <c r="M1305" s="3832"/>
      <c r="N1305" s="3833"/>
      <c r="O1305" s="3832" t="s">
        <v>4643</v>
      </c>
      <c r="P1305" s="3833"/>
      <c r="Q1305" s="2821"/>
      <c r="R1305" s="2821"/>
      <c r="T1305" s="2873"/>
    </row>
    <row r="1306" spans="9:23" ht="40.5">
      <c r="I1306" s="2841" t="s">
        <v>1600</v>
      </c>
      <c r="J1306" s="2841" t="s">
        <v>2067</v>
      </c>
      <c r="K1306" s="2822" t="s">
        <v>5131</v>
      </c>
      <c r="L1306" s="2822" t="s">
        <v>5301</v>
      </c>
      <c r="M1306" s="2822" t="s">
        <v>5131</v>
      </c>
      <c r="N1306" s="2822" t="s">
        <v>5302</v>
      </c>
      <c r="O1306" s="2822" t="s">
        <v>5131</v>
      </c>
      <c r="P1306" s="2822" t="s">
        <v>5317</v>
      </c>
      <c r="Q1306" s="2822" t="s">
        <v>5326</v>
      </c>
      <c r="R1306" s="2842" t="s">
        <v>5294</v>
      </c>
      <c r="T1306" s="2870" t="s">
        <v>5346</v>
      </c>
    </row>
    <row r="1307" spans="9:23" ht="13.5">
      <c r="I1307" s="2823" t="s">
        <v>5281</v>
      </c>
      <c r="J1307" s="2824" t="s">
        <v>5280</v>
      </c>
      <c r="K1307" s="2825"/>
      <c r="L1307" s="2846">
        <f>+K1307*3</f>
        <v>0</v>
      </c>
      <c r="M1307" s="2826"/>
      <c r="N1307" s="2844">
        <f>+M1307*3</f>
        <v>0</v>
      </c>
      <c r="O1307" s="2827"/>
      <c r="P1307" s="2847"/>
      <c r="Q1307" s="2849"/>
      <c r="R1307" s="2851">
        <f>+L1307+N1307+P1307+Q1307</f>
        <v>0</v>
      </c>
      <c r="T1307" s="2871"/>
    </row>
    <row r="1308" spans="9:23" ht="13.5">
      <c r="I1308" s="2901" t="s">
        <v>3050</v>
      </c>
      <c r="J1308" s="2830" t="s">
        <v>5095</v>
      </c>
      <c r="K1308" s="2825"/>
      <c r="L1308" s="2844">
        <f>+K1308*3</f>
        <v>0</v>
      </c>
      <c r="M1308" s="2826"/>
      <c r="N1308" s="2844">
        <v>0</v>
      </c>
      <c r="O1308" s="2827"/>
      <c r="P1308" s="2847"/>
      <c r="Q1308" s="2849"/>
      <c r="R1308" s="2852">
        <f t="shared" ref="R1308:R1330" si="27">+L1308+N1308+P1308+Q1308</f>
        <v>0</v>
      </c>
      <c r="T1308" s="2871"/>
    </row>
    <row r="1309" spans="9:23" ht="13.5">
      <c r="I1309" s="2901" t="s">
        <v>706</v>
      </c>
      <c r="J1309" s="2828" t="s">
        <v>5254</v>
      </c>
      <c r="K1309" s="2825"/>
      <c r="L1309" s="2844">
        <f>+K1309*3</f>
        <v>0</v>
      </c>
      <c r="M1309" s="2826"/>
      <c r="N1309" s="2844">
        <f>+M1309*3</f>
        <v>0</v>
      </c>
      <c r="O1309" s="2831"/>
      <c r="P1309" s="2848">
        <f>IF(O1309&gt;25,150,(O1309)*6)</f>
        <v>0</v>
      </c>
      <c r="Q1309" s="2850"/>
      <c r="R1309" s="2852">
        <f t="shared" si="27"/>
        <v>0</v>
      </c>
      <c r="T1309" s="2871"/>
      <c r="U1309" s="3828">
        <v>43088</v>
      </c>
      <c r="V1309" s="3829"/>
    </row>
    <row r="1310" spans="9:23" ht="13.5">
      <c r="I1310" s="2832" t="s">
        <v>4269</v>
      </c>
      <c r="J1310" s="2833" t="s">
        <v>5255</v>
      </c>
      <c r="K1310" s="2904"/>
      <c r="L1310" s="2893"/>
      <c r="M1310" s="2905"/>
      <c r="N1310" s="2893"/>
      <c r="O1310" s="2905">
        <v>41</v>
      </c>
      <c r="P1310" s="2906">
        <f>IF(O1310&gt;25,150,(O1310)*6)</f>
        <v>150</v>
      </c>
      <c r="Q1310" s="2907"/>
      <c r="R1310" s="2898">
        <f t="shared" si="27"/>
        <v>150</v>
      </c>
      <c r="S1310" s="2890"/>
      <c r="T1310" s="2888">
        <v>50</v>
      </c>
    </row>
    <row r="1311" spans="9:23" ht="13.5">
      <c r="I1311" s="2908" t="s">
        <v>290</v>
      </c>
      <c r="J1311" s="2909" t="s">
        <v>464</v>
      </c>
      <c r="K1311" s="2910"/>
      <c r="L1311" s="2911">
        <f>+K1311*5</f>
        <v>0</v>
      </c>
      <c r="M1311" s="2912"/>
      <c r="N1311" s="2911">
        <f>+M1311*5</f>
        <v>0</v>
      </c>
      <c r="O1311" s="2913"/>
      <c r="P1311" s="2914"/>
      <c r="Q1311" s="2915"/>
      <c r="R1311" s="2916">
        <f t="shared" si="27"/>
        <v>0</v>
      </c>
      <c r="S1311" s="2873"/>
      <c r="T1311" s="2871">
        <v>0</v>
      </c>
    </row>
    <row r="1312" spans="9:23" ht="17.25" thickBot="1">
      <c r="I1312" s="2901" t="s">
        <v>646</v>
      </c>
      <c r="J1312" s="2828" t="s">
        <v>5318</v>
      </c>
      <c r="K1312" s="2825"/>
      <c r="L1312" s="2844">
        <f>+K1312*3</f>
        <v>0</v>
      </c>
      <c r="M1312" s="2902"/>
      <c r="N1312" s="2844"/>
      <c r="O1312" s="2831"/>
      <c r="P1312" s="2848">
        <f>IF(O1312&gt;25,150,(O1312)*6)</f>
        <v>0</v>
      </c>
      <c r="Q1312" s="2850"/>
      <c r="R1312" s="2852">
        <f t="shared" si="27"/>
        <v>0</v>
      </c>
      <c r="T1312" s="2871"/>
      <c r="U1312" s="2931" t="s">
        <v>3152</v>
      </c>
      <c r="V1312" s="2932" t="s">
        <v>5328</v>
      </c>
    </row>
    <row r="1313" spans="9:22" ht="13.5">
      <c r="I1313" s="2901" t="s">
        <v>5217</v>
      </c>
      <c r="J1313" s="2828" t="s">
        <v>5218</v>
      </c>
      <c r="K1313" s="2825"/>
      <c r="L1313" s="2844">
        <v>0</v>
      </c>
      <c r="M1313" s="2902"/>
      <c r="N1313" s="2844"/>
      <c r="O1313" s="2831">
        <v>27</v>
      </c>
      <c r="P1313" s="2848">
        <f>IF(O1313&gt;25,150,(O1313)*6)</f>
        <v>150</v>
      </c>
      <c r="Q1313" s="2850"/>
      <c r="R1313" s="2852">
        <f t="shared" si="27"/>
        <v>150</v>
      </c>
      <c r="T1313" s="2871"/>
      <c r="U1313" s="2933" t="s">
        <v>5327</v>
      </c>
      <c r="V1313" s="2934">
        <v>150</v>
      </c>
    </row>
    <row r="1314" spans="9:22" ht="13.5">
      <c r="I1314" s="2832" t="s">
        <v>416</v>
      </c>
      <c r="J1314" s="2833" t="s">
        <v>5219</v>
      </c>
      <c r="K1314" s="2904"/>
      <c r="L1314" s="2893"/>
      <c r="M1314" s="2905"/>
      <c r="N1314" s="2893"/>
      <c r="O1314" s="2905">
        <v>31</v>
      </c>
      <c r="P1314" s="2906">
        <f t="shared" ref="P1314:P1324" si="28">IF(O1314&gt;25,150,(O1314)*6)</f>
        <v>150</v>
      </c>
      <c r="Q1314" s="2907"/>
      <c r="R1314" s="2898">
        <f t="shared" si="27"/>
        <v>150</v>
      </c>
      <c r="S1314" s="2890"/>
      <c r="T1314" s="2888">
        <v>53</v>
      </c>
      <c r="U1314" s="2935" t="s">
        <v>2920</v>
      </c>
      <c r="V1314" s="2936">
        <v>106</v>
      </c>
    </row>
    <row r="1315" spans="9:22" ht="13.5">
      <c r="I1315" s="2901" t="s">
        <v>5193</v>
      </c>
      <c r="J1315" s="2828" t="s">
        <v>5224</v>
      </c>
      <c r="K1315" s="2834"/>
      <c r="L1315" s="2844"/>
      <c r="M1315" s="2902"/>
      <c r="N1315" s="2844"/>
      <c r="O1315" s="2831">
        <v>32</v>
      </c>
      <c r="P1315" s="2848">
        <f t="shared" si="28"/>
        <v>150</v>
      </c>
      <c r="Q1315" s="2850"/>
      <c r="R1315" s="2852">
        <f t="shared" si="27"/>
        <v>150</v>
      </c>
      <c r="T1315" s="2871"/>
      <c r="U1315" s="2937" t="s">
        <v>1211</v>
      </c>
      <c r="V1315" s="2938">
        <v>200</v>
      </c>
    </row>
    <row r="1316" spans="9:22" ht="13.5">
      <c r="I1316" s="2901" t="s">
        <v>5128</v>
      </c>
      <c r="J1316" s="2828" t="s">
        <v>5220</v>
      </c>
      <c r="K1316" s="2825"/>
      <c r="L1316" s="2844">
        <v>0</v>
      </c>
      <c r="M1316" s="2826"/>
      <c r="N1316" s="2844">
        <v>0</v>
      </c>
      <c r="O1316" s="2831">
        <v>2</v>
      </c>
      <c r="P1316" s="2848">
        <f t="shared" si="28"/>
        <v>12</v>
      </c>
      <c r="Q1316" s="2850"/>
      <c r="R1316" s="2852">
        <f t="shared" si="27"/>
        <v>12</v>
      </c>
      <c r="T1316" s="2871"/>
      <c r="U1316" s="2937" t="s">
        <v>5261</v>
      </c>
      <c r="V1316" s="2938">
        <v>187.5</v>
      </c>
    </row>
    <row r="1317" spans="9:22" ht="13.5">
      <c r="I1317" s="2901" t="s">
        <v>5118</v>
      </c>
      <c r="J1317" s="2830" t="s">
        <v>5319</v>
      </c>
      <c r="K1317" s="2825"/>
      <c r="L1317" s="2844">
        <f>+K1317*3</f>
        <v>0</v>
      </c>
      <c r="M1317" s="2826"/>
      <c r="N1317" s="2844">
        <f>+M1317*3</f>
        <v>0</v>
      </c>
      <c r="O1317" s="2831"/>
      <c r="P1317" s="2848">
        <f t="shared" si="28"/>
        <v>0</v>
      </c>
      <c r="Q1317" s="2849"/>
      <c r="R1317" s="2852">
        <f t="shared" si="27"/>
        <v>0</v>
      </c>
      <c r="T1317" s="2871"/>
      <c r="U1317" s="2937" t="s">
        <v>1224</v>
      </c>
      <c r="V1317" s="2938">
        <v>100</v>
      </c>
    </row>
    <row r="1318" spans="9:22" ht="13.5">
      <c r="I1318" s="2901" t="s">
        <v>5222</v>
      </c>
      <c r="J1318" s="2828" t="s">
        <v>5223</v>
      </c>
      <c r="K1318" s="2834"/>
      <c r="L1318" s="2844"/>
      <c r="M1318" s="2902"/>
      <c r="N1318" s="2844"/>
      <c r="O1318" s="2831"/>
      <c r="P1318" s="2848">
        <f t="shared" si="28"/>
        <v>0</v>
      </c>
      <c r="Q1318" s="2850"/>
      <c r="R1318" s="2852">
        <f t="shared" si="27"/>
        <v>0</v>
      </c>
      <c r="T1318" s="2871"/>
      <c r="U1318" s="2937" t="s">
        <v>5267</v>
      </c>
      <c r="V1318" s="2938">
        <v>231</v>
      </c>
    </row>
    <row r="1319" spans="9:22" ht="13.5">
      <c r="I1319" s="2901" t="s">
        <v>5252</v>
      </c>
      <c r="J1319" s="2828" t="s">
        <v>5253</v>
      </c>
      <c r="K1319" s="2825"/>
      <c r="L1319" s="2844">
        <f>+K1319*3</f>
        <v>0</v>
      </c>
      <c r="M1319" s="2826"/>
      <c r="N1319" s="2844">
        <f>+M1319*3</f>
        <v>0</v>
      </c>
      <c r="O1319" s="2831"/>
      <c r="P1319" s="2848">
        <f t="shared" si="28"/>
        <v>0</v>
      </c>
      <c r="Q1319" s="2850"/>
      <c r="R1319" s="2852">
        <f t="shared" si="27"/>
        <v>0</v>
      </c>
      <c r="T1319" s="2871"/>
      <c r="U1319" s="2939"/>
      <c r="V1319" s="2940">
        <f>SUM(V1313:V1318)</f>
        <v>974.5</v>
      </c>
    </row>
    <row r="1320" spans="9:22" ht="13.5">
      <c r="I1320" s="2901" t="s">
        <v>793</v>
      </c>
      <c r="J1320" s="2828" t="s">
        <v>5226</v>
      </c>
      <c r="K1320" s="2834"/>
      <c r="L1320" s="2844"/>
      <c r="M1320" s="2902"/>
      <c r="N1320" s="2844"/>
      <c r="O1320" s="2831">
        <v>38</v>
      </c>
      <c r="P1320" s="2848">
        <f t="shared" si="28"/>
        <v>150</v>
      </c>
      <c r="Q1320" s="2850"/>
      <c r="R1320" s="2852">
        <f t="shared" si="27"/>
        <v>150</v>
      </c>
      <c r="T1320" s="2871"/>
    </row>
    <row r="1321" spans="9:22" ht="13.5">
      <c r="I1321" s="2901" t="s">
        <v>5227</v>
      </c>
      <c r="J1321" s="2828" t="s">
        <v>5228</v>
      </c>
      <c r="K1321" s="2834"/>
      <c r="L1321" s="2844"/>
      <c r="M1321" s="2902"/>
      <c r="N1321" s="2844"/>
      <c r="O1321" s="2831">
        <v>31</v>
      </c>
      <c r="P1321" s="2848">
        <f t="shared" si="28"/>
        <v>150</v>
      </c>
      <c r="Q1321" s="2850"/>
      <c r="R1321" s="2852">
        <f t="shared" si="27"/>
        <v>150</v>
      </c>
      <c r="T1321" s="2871"/>
    </row>
    <row r="1322" spans="9:22" ht="13.5">
      <c r="I1322" s="2901" t="s">
        <v>5287</v>
      </c>
      <c r="J1322" s="2828" t="s">
        <v>5288</v>
      </c>
      <c r="K1322" s="2834"/>
      <c r="L1322" s="2844"/>
      <c r="M1322" s="2902"/>
      <c r="N1322" s="2844"/>
      <c r="O1322" s="2831">
        <v>35</v>
      </c>
      <c r="P1322" s="2848">
        <f t="shared" si="28"/>
        <v>150</v>
      </c>
      <c r="Q1322" s="2850"/>
      <c r="R1322" s="2852">
        <f t="shared" si="27"/>
        <v>150</v>
      </c>
      <c r="T1322" s="2871"/>
    </row>
    <row r="1323" spans="9:22" ht="13.5">
      <c r="I1323" s="2901" t="s">
        <v>5100</v>
      </c>
      <c r="J1323" s="2828" t="s">
        <v>5229</v>
      </c>
      <c r="K1323" s="2834"/>
      <c r="L1323" s="2844"/>
      <c r="M1323" s="2902"/>
      <c r="N1323" s="2844"/>
      <c r="O1323" s="2831">
        <v>29</v>
      </c>
      <c r="P1323" s="2848">
        <f t="shared" si="28"/>
        <v>150</v>
      </c>
      <c r="Q1323" s="2850"/>
      <c r="R1323" s="2852">
        <f t="shared" si="27"/>
        <v>150</v>
      </c>
      <c r="T1323" s="2871"/>
    </row>
    <row r="1324" spans="9:22" ht="13.5">
      <c r="I1324" s="2832" t="s">
        <v>5230</v>
      </c>
      <c r="J1324" s="2833" t="s">
        <v>5231</v>
      </c>
      <c r="K1324" s="2904"/>
      <c r="L1324" s="2893"/>
      <c r="M1324" s="2905"/>
      <c r="N1324" s="2893"/>
      <c r="O1324" s="2905">
        <v>1</v>
      </c>
      <c r="P1324" s="2906">
        <f t="shared" si="28"/>
        <v>6</v>
      </c>
      <c r="Q1324" s="2907"/>
      <c r="R1324" s="2898">
        <f t="shared" si="27"/>
        <v>6</v>
      </c>
      <c r="S1324" s="2890"/>
      <c r="T1324" s="2930">
        <v>0</v>
      </c>
    </row>
    <row r="1325" spans="9:22" ht="13.5">
      <c r="I1325" s="2917" t="s">
        <v>5120</v>
      </c>
      <c r="J1325" s="2918" t="s">
        <v>3321</v>
      </c>
      <c r="K1325" s="2919"/>
      <c r="L1325" s="2920">
        <f>+K1325*3</f>
        <v>0</v>
      </c>
      <c r="M1325" s="2921"/>
      <c r="N1325" s="2920">
        <v>0</v>
      </c>
      <c r="O1325" s="2922"/>
      <c r="P1325" s="2923"/>
      <c r="Q1325" s="2924"/>
      <c r="R1325" s="2925">
        <f t="shared" si="27"/>
        <v>0</v>
      </c>
      <c r="S1325" s="2926"/>
      <c r="T1325" s="2927"/>
      <c r="U1325" s="2928" t="s">
        <v>5322</v>
      </c>
      <c r="V1325" s="2926"/>
    </row>
    <row r="1326" spans="9:22" ht="13.5">
      <c r="I1326" s="2832" t="s">
        <v>5232</v>
      </c>
      <c r="J1326" s="2833" t="s">
        <v>5233</v>
      </c>
      <c r="K1326" s="2904"/>
      <c r="L1326" s="2893"/>
      <c r="M1326" s="2905"/>
      <c r="N1326" s="2893"/>
      <c r="O1326" s="2905">
        <v>36</v>
      </c>
      <c r="P1326" s="2906">
        <f>IF(O1326&gt;25,150,(O1326)*6)</f>
        <v>150</v>
      </c>
      <c r="Q1326" s="2907"/>
      <c r="R1326" s="2898">
        <f t="shared" si="27"/>
        <v>150</v>
      </c>
      <c r="S1326" s="2890"/>
      <c r="T1326" s="2888">
        <v>75</v>
      </c>
    </row>
    <row r="1327" spans="9:22" ht="13.5">
      <c r="I1327" s="2901" t="s">
        <v>5194</v>
      </c>
      <c r="J1327" s="2828" t="s">
        <v>5251</v>
      </c>
      <c r="K1327" s="2825"/>
      <c r="L1327" s="2844">
        <v>0</v>
      </c>
      <c r="M1327" s="2826"/>
      <c r="N1327" s="2844">
        <v>0</v>
      </c>
      <c r="O1327" s="2831">
        <v>35</v>
      </c>
      <c r="P1327" s="2848">
        <f>IF(O1327&gt;25,150,(O1327)*6)</f>
        <v>150</v>
      </c>
      <c r="Q1327" s="2850"/>
      <c r="R1327" s="2852">
        <f t="shared" si="27"/>
        <v>150</v>
      </c>
      <c r="T1327" s="2871"/>
    </row>
    <row r="1328" spans="9:22" ht="13.5">
      <c r="I1328" s="2901" t="s">
        <v>5285</v>
      </c>
      <c r="J1328" s="2830" t="s">
        <v>5284</v>
      </c>
      <c r="K1328" s="2825"/>
      <c r="L1328" s="2844">
        <v>0</v>
      </c>
      <c r="M1328" s="2826"/>
      <c r="N1328" s="2844">
        <f>+M1328*3</f>
        <v>0</v>
      </c>
      <c r="O1328" s="2827"/>
      <c r="P1328" s="2847"/>
      <c r="Q1328" s="2849"/>
      <c r="R1328" s="2852">
        <f t="shared" si="27"/>
        <v>0</v>
      </c>
      <c r="T1328" s="2871"/>
    </row>
    <row r="1329" spans="4:22" ht="13.5">
      <c r="I1329" s="2832" t="s">
        <v>5121</v>
      </c>
      <c r="J1329" s="2836" t="s">
        <v>5122</v>
      </c>
      <c r="K1329" s="2892"/>
      <c r="L1329" s="2893">
        <v>0</v>
      </c>
      <c r="M1329" s="2894"/>
      <c r="N1329" s="2893">
        <f>+M1329*3</f>
        <v>0</v>
      </c>
      <c r="O1329" s="2905">
        <v>31</v>
      </c>
      <c r="P1329" s="2906">
        <f>IF(O1329&gt;25,150,(O1329)*6)</f>
        <v>150</v>
      </c>
      <c r="Q1329" s="2897"/>
      <c r="R1329" s="2898">
        <f t="shared" si="27"/>
        <v>150</v>
      </c>
      <c r="S1329" s="2890"/>
      <c r="T1329" s="2888">
        <v>37.5</v>
      </c>
      <c r="U1329">
        <v>1</v>
      </c>
    </row>
    <row r="1330" spans="4:22" ht="13.5">
      <c r="I1330" s="2901" t="s">
        <v>5235</v>
      </c>
      <c r="J1330" s="2830" t="s">
        <v>5320</v>
      </c>
      <c r="K1330" s="2825"/>
      <c r="L1330" s="2844">
        <v>0</v>
      </c>
      <c r="M1330" s="2826"/>
      <c r="N1330" s="2844">
        <f>+M1330*3</f>
        <v>0</v>
      </c>
      <c r="O1330" s="2831">
        <v>34</v>
      </c>
      <c r="P1330" s="2848">
        <f>IF(O1330&gt;25,150,(O1330)*6)</f>
        <v>150</v>
      </c>
      <c r="Q1330" s="2849"/>
      <c r="R1330" s="2852">
        <f t="shared" si="27"/>
        <v>150</v>
      </c>
      <c r="T1330" s="2871"/>
    </row>
    <row r="1331" spans="4:22" ht="13.5">
      <c r="I1331" s="2901" t="s">
        <v>5237</v>
      </c>
      <c r="J1331" s="2828" t="s">
        <v>5238</v>
      </c>
      <c r="K1331" s="2901"/>
      <c r="L1331" s="2844">
        <f>+K1331*3</f>
        <v>0</v>
      </c>
      <c r="M1331" s="2902"/>
      <c r="N1331" s="2844"/>
      <c r="O1331" s="2831"/>
      <c r="P1331" s="2848">
        <f>IF(O1331&gt;25,150,(O1331)*6)</f>
        <v>0</v>
      </c>
      <c r="Q1331" s="2850">
        <v>10</v>
      </c>
      <c r="R1331" s="2852">
        <f t="shared" ref="R1331:R1337" si="29">+L1331+N1331+P1331+Q1331</f>
        <v>10</v>
      </c>
      <c r="S1331" s="2808"/>
      <c r="T1331" s="2871"/>
    </row>
    <row r="1332" spans="4:22" ht="13.5">
      <c r="I1332" s="2901" t="s">
        <v>5101</v>
      </c>
      <c r="J1332" s="2828" t="s">
        <v>5289</v>
      </c>
      <c r="K1332" s="2825"/>
      <c r="L1332" s="2844">
        <f>+K1332*3</f>
        <v>0</v>
      </c>
      <c r="M1332" s="2826"/>
      <c r="N1332" s="2844">
        <v>0</v>
      </c>
      <c r="O1332" s="2831">
        <v>32</v>
      </c>
      <c r="P1332" s="2848">
        <f>IF(O1332&gt;25,150,(O1332)*6)</f>
        <v>150</v>
      </c>
      <c r="Q1332" s="2850"/>
      <c r="R1332" s="2852">
        <f t="shared" si="29"/>
        <v>150</v>
      </c>
      <c r="T1332" s="2871"/>
    </row>
    <row r="1333" spans="4:22" ht="13.5">
      <c r="I1333" s="2901" t="s">
        <v>5102</v>
      </c>
      <c r="J1333" s="2830" t="s">
        <v>5098</v>
      </c>
      <c r="K1333" s="2825"/>
      <c r="L1333" s="2844">
        <f>+K1333*3</f>
        <v>0</v>
      </c>
      <c r="M1333" s="2826"/>
      <c r="N1333" s="2844">
        <f>+M1333*3</f>
        <v>0</v>
      </c>
      <c r="O1333" s="2827"/>
      <c r="P1333" s="2847"/>
      <c r="Q1333" s="2849"/>
      <c r="R1333" s="2852">
        <f t="shared" si="29"/>
        <v>0</v>
      </c>
      <c r="T1333" s="2871"/>
    </row>
    <row r="1334" spans="4:22" ht="13.5">
      <c r="D1334" s="2900"/>
      <c r="I1334" s="2901" t="s">
        <v>5103</v>
      </c>
      <c r="J1334" s="2828" t="s">
        <v>5240</v>
      </c>
      <c r="K1334" s="2834"/>
      <c r="L1334" s="2844"/>
      <c r="M1334" s="2902"/>
      <c r="N1334" s="2844"/>
      <c r="O1334" s="2831">
        <v>37</v>
      </c>
      <c r="P1334" s="2848">
        <f>IF(O1334&gt;25,150,(O1334)*6)</f>
        <v>150</v>
      </c>
      <c r="Q1334" s="2850">
        <v>42</v>
      </c>
      <c r="R1334" s="2852">
        <f t="shared" si="29"/>
        <v>192</v>
      </c>
      <c r="S1334" s="2808"/>
      <c r="T1334" s="2871"/>
    </row>
    <row r="1335" spans="4:22" ht="13.5">
      <c r="I1335" s="2901" t="s">
        <v>5324</v>
      </c>
      <c r="J1335" s="2828" t="s">
        <v>5325</v>
      </c>
      <c r="K1335" s="2834"/>
      <c r="L1335" s="2844"/>
      <c r="M1335" s="2902"/>
      <c r="N1335" s="2844"/>
      <c r="O1335" s="2831">
        <v>8</v>
      </c>
      <c r="P1335" s="2848">
        <f>IF(O1335&gt;25,150,(O1335)*6)</f>
        <v>48</v>
      </c>
      <c r="Q1335" s="2850"/>
      <c r="R1335" s="2852">
        <f t="shared" si="29"/>
        <v>48</v>
      </c>
      <c r="S1335" s="2808"/>
      <c r="T1335" s="2871"/>
    </row>
    <row r="1336" spans="4:22" ht="13.5">
      <c r="I1336" s="2837" t="s">
        <v>5312</v>
      </c>
      <c r="J1336" s="2880" t="s">
        <v>5313</v>
      </c>
      <c r="K1336" s="2881"/>
      <c r="L1336" s="2882">
        <v>0</v>
      </c>
      <c r="M1336" s="2883"/>
      <c r="N1336" s="2882">
        <f>+M1336*3</f>
        <v>0</v>
      </c>
      <c r="O1336" s="2884">
        <v>26</v>
      </c>
      <c r="P1336" s="2885">
        <f>IF(O1336&gt;25,150,(O1336)*6)</f>
        <v>150</v>
      </c>
      <c r="Q1336" s="2886"/>
      <c r="R1336" s="2853">
        <f t="shared" si="29"/>
        <v>150</v>
      </c>
      <c r="T1336" s="2871"/>
    </row>
    <row r="1337" spans="4:22" ht="13.5">
      <c r="I1337" s="2839"/>
      <c r="J1337" s="2840"/>
      <c r="K1337" s="2877">
        <f t="shared" ref="K1337:Q1337" si="30">SUM(K1307:K1336)</f>
        <v>0</v>
      </c>
      <c r="L1337" s="2878">
        <f t="shared" si="30"/>
        <v>0</v>
      </c>
      <c r="M1337" s="2877">
        <f t="shared" si="30"/>
        <v>0</v>
      </c>
      <c r="N1337" s="2878">
        <f t="shared" si="30"/>
        <v>0</v>
      </c>
      <c r="O1337" s="2877">
        <f t="shared" si="30"/>
        <v>506</v>
      </c>
      <c r="P1337" s="2879">
        <f t="shared" si="30"/>
        <v>2316</v>
      </c>
      <c r="Q1337" s="2879">
        <f t="shared" si="30"/>
        <v>52</v>
      </c>
      <c r="R1337" s="2878">
        <f t="shared" si="29"/>
        <v>2368</v>
      </c>
      <c r="S1337" s="96"/>
      <c r="T1337" s="2887">
        <f>SUM(T1307:T1336)</f>
        <v>215.5</v>
      </c>
      <c r="U1337" s="96"/>
      <c r="V1337" s="96"/>
    </row>
    <row r="1338" spans="4:22">
      <c r="P1338" s="68"/>
    </row>
    <row r="1339" spans="4:22" ht="13.5">
      <c r="I1339" s="3830" t="s">
        <v>5329</v>
      </c>
      <c r="J1339" s="3830"/>
      <c r="K1339" s="3830"/>
      <c r="L1339" s="3830"/>
      <c r="M1339" s="3830"/>
      <c r="N1339" s="3830"/>
      <c r="O1339" s="3830"/>
      <c r="P1339" s="3830"/>
      <c r="Q1339" s="3830"/>
      <c r="R1339" s="3830"/>
      <c r="T1339" s="2873"/>
    </row>
    <row r="1340" spans="4:22" ht="13.5">
      <c r="I1340" s="2821"/>
      <c r="J1340" s="2821"/>
      <c r="K1340" s="3831" t="s">
        <v>5286</v>
      </c>
      <c r="L1340" s="3832"/>
      <c r="M1340" s="3832"/>
      <c r="N1340" s="3833"/>
      <c r="O1340" s="3832" t="s">
        <v>4643</v>
      </c>
      <c r="P1340" s="3833"/>
      <c r="Q1340" s="2821"/>
      <c r="R1340" s="2821"/>
      <c r="T1340" s="2873"/>
    </row>
    <row r="1341" spans="4:22" ht="40.5">
      <c r="I1341" s="2841" t="s">
        <v>1600</v>
      </c>
      <c r="J1341" s="2841" t="s">
        <v>2067</v>
      </c>
      <c r="K1341" s="2822" t="s">
        <v>5131</v>
      </c>
      <c r="L1341" s="2822" t="s">
        <v>5301</v>
      </c>
      <c r="M1341" s="2822" t="s">
        <v>5131</v>
      </c>
      <c r="N1341" s="2822" t="s">
        <v>5302</v>
      </c>
      <c r="O1341" s="2822" t="s">
        <v>5131</v>
      </c>
      <c r="P1341" s="2822" t="s">
        <v>5330</v>
      </c>
      <c r="Q1341" s="2822" t="s">
        <v>5332</v>
      </c>
      <c r="R1341" s="2842" t="s">
        <v>5294</v>
      </c>
      <c r="T1341" s="2870" t="s">
        <v>5331</v>
      </c>
    </row>
    <row r="1342" spans="4:22" ht="13.5">
      <c r="I1342" s="2823" t="s">
        <v>5281</v>
      </c>
      <c r="J1342" s="2824" t="s">
        <v>5280</v>
      </c>
      <c r="K1342" s="2825"/>
      <c r="L1342" s="2846">
        <f>+K1342*3</f>
        <v>0</v>
      </c>
      <c r="M1342" s="2826"/>
      <c r="N1342" s="2844">
        <f>+M1342*3</f>
        <v>0</v>
      </c>
      <c r="O1342" s="2827"/>
      <c r="P1342" s="2847"/>
      <c r="Q1342" s="2849"/>
      <c r="R1342" s="2851">
        <f>+L1342+N1342+P1342+Q1342</f>
        <v>0</v>
      </c>
      <c r="T1342" s="2871"/>
    </row>
    <row r="1343" spans="4:22" ht="13.5">
      <c r="I1343" s="2942" t="s">
        <v>3050</v>
      </c>
      <c r="J1343" s="2830" t="s">
        <v>5095</v>
      </c>
      <c r="K1343" s="2825"/>
      <c r="L1343" s="2844">
        <f>+K1343*3</f>
        <v>0</v>
      </c>
      <c r="M1343" s="2826"/>
      <c r="N1343" s="2844">
        <v>0</v>
      </c>
      <c r="O1343" s="2827"/>
      <c r="P1343" s="2847"/>
      <c r="Q1343" s="2849"/>
      <c r="R1343" s="2852">
        <f t="shared" ref="R1343:R1366" si="31">+L1343+N1343+P1343+Q1343</f>
        <v>0</v>
      </c>
      <c r="T1343" s="2871"/>
    </row>
    <row r="1344" spans="4:22" ht="13.5">
      <c r="I1344" s="2942" t="s">
        <v>706</v>
      </c>
      <c r="J1344" s="2828" t="s">
        <v>5254</v>
      </c>
      <c r="K1344" s="2825"/>
      <c r="L1344" s="2844">
        <f>+K1344*3</f>
        <v>0</v>
      </c>
      <c r="M1344" s="2826"/>
      <c r="N1344" s="2844">
        <f>+M1344*3</f>
        <v>0</v>
      </c>
      <c r="O1344" s="2831"/>
      <c r="P1344" s="2848">
        <f>IF(O1344&gt;25,150,(O1344)*6)</f>
        <v>0</v>
      </c>
      <c r="Q1344" s="2850"/>
      <c r="R1344" s="2852">
        <f t="shared" si="31"/>
        <v>0</v>
      </c>
      <c r="T1344" s="2871"/>
      <c r="U1344" s="3828">
        <v>43096</v>
      </c>
      <c r="V1344" s="3829"/>
    </row>
    <row r="1345" spans="4:22" ht="13.5">
      <c r="I1345" s="2832" t="s">
        <v>4269</v>
      </c>
      <c r="J1345" s="2833" t="s">
        <v>5255</v>
      </c>
      <c r="K1345" s="2904"/>
      <c r="L1345" s="2893"/>
      <c r="M1345" s="2905"/>
      <c r="N1345" s="2893"/>
      <c r="O1345" s="2905">
        <v>12</v>
      </c>
      <c r="P1345" s="2906">
        <f>IF(O1345&gt;25,150,(O1345)*6)</f>
        <v>72</v>
      </c>
      <c r="Q1345" s="2907"/>
      <c r="R1345" s="2898">
        <f t="shared" si="31"/>
        <v>72</v>
      </c>
      <c r="S1345" s="2890"/>
      <c r="T1345" s="2888">
        <v>0</v>
      </c>
    </row>
    <row r="1346" spans="4:22" ht="13.5">
      <c r="I1346" s="2908" t="s">
        <v>290</v>
      </c>
      <c r="J1346" s="2909" t="s">
        <v>464</v>
      </c>
      <c r="K1346" s="2910"/>
      <c r="L1346" s="2911">
        <f>+K1346*5</f>
        <v>0</v>
      </c>
      <c r="M1346" s="2912"/>
      <c r="N1346" s="2911">
        <f>+M1346*5</f>
        <v>0</v>
      </c>
      <c r="O1346" s="2913"/>
      <c r="P1346" s="2914"/>
      <c r="Q1346" s="2915"/>
      <c r="R1346" s="2916">
        <f t="shared" si="31"/>
        <v>0</v>
      </c>
      <c r="S1346" s="2873"/>
      <c r="T1346" s="2871">
        <v>0</v>
      </c>
    </row>
    <row r="1347" spans="4:22" ht="17.25" thickBot="1">
      <c r="I1347" s="2942" t="s">
        <v>646</v>
      </c>
      <c r="J1347" s="2828" t="s">
        <v>5318</v>
      </c>
      <c r="K1347" s="2825"/>
      <c r="L1347" s="2844">
        <f>+K1347*3</f>
        <v>0</v>
      </c>
      <c r="M1347" s="2943"/>
      <c r="N1347" s="2844"/>
      <c r="O1347" s="2831"/>
      <c r="P1347" s="2848">
        <f>IF(O1347&gt;25,150,(O1347)*6)</f>
        <v>0</v>
      </c>
      <c r="Q1347" s="2850"/>
      <c r="R1347" s="2852">
        <f t="shared" si="31"/>
        <v>0</v>
      </c>
      <c r="T1347" s="2871"/>
      <c r="U1347" s="2931" t="s">
        <v>3152</v>
      </c>
      <c r="V1347" s="2932" t="s">
        <v>5328</v>
      </c>
    </row>
    <row r="1348" spans="4:22" ht="13.5">
      <c r="I1348" s="2942" t="s">
        <v>5217</v>
      </c>
      <c r="J1348" s="2828" t="s">
        <v>5218</v>
      </c>
      <c r="K1348" s="2825"/>
      <c r="L1348" s="2844">
        <v>0</v>
      </c>
      <c r="M1348" s="2943"/>
      <c r="N1348" s="2844"/>
      <c r="O1348" s="2831">
        <v>1</v>
      </c>
      <c r="P1348" s="2848">
        <f>IF(O1348&gt;25,150,(O1348)*6)</f>
        <v>6</v>
      </c>
      <c r="Q1348" s="2850"/>
      <c r="R1348" s="2852">
        <f t="shared" si="31"/>
        <v>6</v>
      </c>
      <c r="T1348" s="2871"/>
      <c r="U1348" s="2933" t="s">
        <v>5327</v>
      </c>
      <c r="V1348" s="2934">
        <v>150</v>
      </c>
    </row>
    <row r="1349" spans="4:22" ht="13.5">
      <c r="I1349" s="2832" t="s">
        <v>416</v>
      </c>
      <c r="J1349" s="2833" t="s">
        <v>5219</v>
      </c>
      <c r="K1349" s="2904"/>
      <c r="L1349" s="2893"/>
      <c r="M1349" s="2905"/>
      <c r="N1349" s="2893"/>
      <c r="O1349" s="2905">
        <v>31</v>
      </c>
      <c r="P1349" s="2906">
        <f t="shared" ref="P1349:P1360" si="32">IF(O1349&gt;25,150,(O1349)*6)</f>
        <v>150</v>
      </c>
      <c r="Q1349" s="2907"/>
      <c r="R1349" s="2898">
        <f t="shared" si="31"/>
        <v>150</v>
      </c>
      <c r="S1349" s="2890"/>
      <c r="T1349" s="2888">
        <v>0</v>
      </c>
      <c r="U1349" s="2935" t="s">
        <v>2920</v>
      </c>
      <c r="V1349" s="2936">
        <v>106</v>
      </c>
    </row>
    <row r="1350" spans="4:22" ht="13.5">
      <c r="I1350" s="2942" t="s">
        <v>5193</v>
      </c>
      <c r="J1350" s="2828" t="s">
        <v>5224</v>
      </c>
      <c r="K1350" s="2834"/>
      <c r="L1350" s="2844"/>
      <c r="M1350" s="2943"/>
      <c r="N1350" s="2844"/>
      <c r="O1350" s="2831">
        <v>28</v>
      </c>
      <c r="P1350" s="2848">
        <f t="shared" si="32"/>
        <v>150</v>
      </c>
      <c r="Q1350" s="2850"/>
      <c r="R1350" s="2852">
        <f t="shared" si="31"/>
        <v>150</v>
      </c>
      <c r="T1350" s="2871"/>
      <c r="U1350" s="2937" t="s">
        <v>1211</v>
      </c>
      <c r="V1350" s="2938">
        <v>200</v>
      </c>
    </row>
    <row r="1351" spans="4:22" ht="13.5">
      <c r="I1351" s="2942" t="s">
        <v>5128</v>
      </c>
      <c r="J1351" s="2828" t="s">
        <v>5220</v>
      </c>
      <c r="K1351" s="2825"/>
      <c r="L1351" s="2844">
        <v>0</v>
      </c>
      <c r="M1351" s="2826"/>
      <c r="N1351" s="2844">
        <v>0</v>
      </c>
      <c r="O1351" s="2831"/>
      <c r="P1351" s="2848">
        <f t="shared" si="32"/>
        <v>0</v>
      </c>
      <c r="Q1351" s="2850"/>
      <c r="R1351" s="2852">
        <f t="shared" si="31"/>
        <v>0</v>
      </c>
      <c r="T1351" s="2871"/>
      <c r="U1351" s="2937" t="s">
        <v>5261</v>
      </c>
      <c r="V1351" s="2938">
        <v>187.5</v>
      </c>
    </row>
    <row r="1352" spans="4:22" ht="13.5">
      <c r="I1352" s="2942" t="s">
        <v>5118</v>
      </c>
      <c r="J1352" s="2830" t="s">
        <v>5319</v>
      </c>
      <c r="K1352" s="2825"/>
      <c r="L1352" s="2844">
        <f>+K1352*3</f>
        <v>0</v>
      </c>
      <c r="M1352" s="2826"/>
      <c r="N1352" s="2844">
        <f>+M1352*3</f>
        <v>0</v>
      </c>
      <c r="O1352" s="2831"/>
      <c r="P1352" s="2848">
        <f t="shared" si="32"/>
        <v>0</v>
      </c>
      <c r="Q1352" s="2849"/>
      <c r="R1352" s="2852">
        <f t="shared" si="31"/>
        <v>0</v>
      </c>
      <c r="T1352" s="2871"/>
      <c r="U1352" s="2937" t="s">
        <v>1224</v>
      </c>
      <c r="V1352" s="2938">
        <v>100</v>
      </c>
    </row>
    <row r="1353" spans="4:22" ht="13.5">
      <c r="I1353" s="2942" t="s">
        <v>5222</v>
      </c>
      <c r="J1353" s="2828" t="s">
        <v>5223</v>
      </c>
      <c r="K1353" s="2834"/>
      <c r="L1353" s="2844"/>
      <c r="M1353" s="2943"/>
      <c r="N1353" s="2844"/>
      <c r="O1353" s="2831">
        <v>33</v>
      </c>
      <c r="P1353" s="2848">
        <f t="shared" si="32"/>
        <v>150</v>
      </c>
      <c r="Q1353" s="2850"/>
      <c r="R1353" s="2852">
        <f t="shared" si="31"/>
        <v>150</v>
      </c>
      <c r="T1353" s="2871"/>
      <c r="U1353" s="2937" t="s">
        <v>5267</v>
      </c>
      <c r="V1353" s="2938">
        <v>231</v>
      </c>
    </row>
    <row r="1354" spans="4:22" ht="13.5">
      <c r="I1354" s="2942" t="s">
        <v>5252</v>
      </c>
      <c r="J1354" s="2828" t="s">
        <v>5253</v>
      </c>
      <c r="K1354" s="2825"/>
      <c r="L1354" s="2844">
        <f>+K1354*3</f>
        <v>0</v>
      </c>
      <c r="M1354" s="2826"/>
      <c r="N1354" s="2844">
        <f>+M1354*3</f>
        <v>0</v>
      </c>
      <c r="O1354" s="2831"/>
      <c r="P1354" s="2848">
        <f t="shared" si="32"/>
        <v>0</v>
      </c>
      <c r="Q1354" s="2850"/>
      <c r="R1354" s="2852">
        <f t="shared" si="31"/>
        <v>0</v>
      </c>
      <c r="T1354" s="2871"/>
      <c r="U1354" s="2939"/>
      <c r="V1354" s="2940">
        <f>SUM(V1348:V1353)</f>
        <v>974.5</v>
      </c>
    </row>
    <row r="1355" spans="4:22" ht="13.5">
      <c r="I1355" s="2942" t="s">
        <v>799</v>
      </c>
      <c r="J1355" s="2828" t="s">
        <v>5225</v>
      </c>
      <c r="K1355" s="2834"/>
      <c r="L1355" s="2844"/>
      <c r="M1355" s="2943"/>
      <c r="N1355" s="2844"/>
      <c r="O1355" s="2831">
        <v>11</v>
      </c>
      <c r="P1355" s="2848">
        <f t="shared" si="32"/>
        <v>66</v>
      </c>
      <c r="Q1355" s="2850"/>
      <c r="R1355" s="2852">
        <f t="shared" si="31"/>
        <v>66</v>
      </c>
      <c r="T1355" s="2871"/>
    </row>
    <row r="1356" spans="4:22" ht="13.5">
      <c r="D1356" s="2941"/>
      <c r="I1356" s="2942" t="s">
        <v>793</v>
      </c>
      <c r="J1356" s="2828" t="s">
        <v>5226</v>
      </c>
      <c r="K1356" s="2834"/>
      <c r="L1356" s="2844"/>
      <c r="M1356" s="2943"/>
      <c r="N1356" s="2844"/>
      <c r="O1356" s="2831">
        <v>43</v>
      </c>
      <c r="P1356" s="2848">
        <f>IF(O1356&gt;25,150,(O1356)*6)</f>
        <v>150</v>
      </c>
      <c r="Q1356" s="2850"/>
      <c r="R1356" s="2852">
        <f>+L1356+N1356+P1356+Q1356</f>
        <v>150</v>
      </c>
      <c r="T1356" s="2871"/>
    </row>
    <row r="1357" spans="4:22" ht="13.5">
      <c r="I1357" s="2942" t="s">
        <v>5227</v>
      </c>
      <c r="J1357" s="2828" t="s">
        <v>5228</v>
      </c>
      <c r="K1357" s="2834"/>
      <c r="L1357" s="2844"/>
      <c r="M1357" s="2943"/>
      <c r="N1357" s="2844"/>
      <c r="O1357" s="2831">
        <v>11</v>
      </c>
      <c r="P1357" s="2848">
        <f t="shared" si="32"/>
        <v>66</v>
      </c>
      <c r="Q1357" s="2850"/>
      <c r="R1357" s="2852">
        <f t="shared" si="31"/>
        <v>66</v>
      </c>
      <c r="T1357" s="2871"/>
    </row>
    <row r="1358" spans="4:22" ht="13.5">
      <c r="I1358" s="2942" t="s">
        <v>5287</v>
      </c>
      <c r="J1358" s="2828" t="s">
        <v>5288</v>
      </c>
      <c r="K1358" s="2834"/>
      <c r="L1358" s="2844"/>
      <c r="M1358" s="2943"/>
      <c r="N1358" s="2844"/>
      <c r="O1358" s="2831">
        <v>28</v>
      </c>
      <c r="P1358" s="2848">
        <f t="shared" si="32"/>
        <v>150</v>
      </c>
      <c r="Q1358" s="2850"/>
      <c r="R1358" s="2852">
        <f t="shared" si="31"/>
        <v>150</v>
      </c>
      <c r="T1358" s="2871"/>
    </row>
    <row r="1359" spans="4:22" ht="13.5">
      <c r="I1359" s="2942" t="s">
        <v>5100</v>
      </c>
      <c r="J1359" s="2828" t="s">
        <v>5229</v>
      </c>
      <c r="K1359" s="2834"/>
      <c r="L1359" s="2844"/>
      <c r="M1359" s="2943"/>
      <c r="N1359" s="2844"/>
      <c r="O1359" s="2831">
        <v>34</v>
      </c>
      <c r="P1359" s="2848">
        <f t="shared" si="32"/>
        <v>150</v>
      </c>
      <c r="Q1359" s="2850"/>
      <c r="R1359" s="2852">
        <f t="shared" si="31"/>
        <v>150</v>
      </c>
      <c r="T1359" s="2871"/>
    </row>
    <row r="1360" spans="4:22" ht="13.5">
      <c r="I1360" s="2832" t="s">
        <v>5230</v>
      </c>
      <c r="J1360" s="2833" t="s">
        <v>5231</v>
      </c>
      <c r="K1360" s="2904"/>
      <c r="L1360" s="2893"/>
      <c r="M1360" s="2905"/>
      <c r="N1360" s="2893"/>
      <c r="O1360" s="2905">
        <v>23</v>
      </c>
      <c r="P1360" s="2906">
        <f t="shared" si="32"/>
        <v>138</v>
      </c>
      <c r="Q1360" s="2907"/>
      <c r="R1360" s="2898">
        <f t="shared" si="31"/>
        <v>138</v>
      </c>
      <c r="S1360" s="2890"/>
      <c r="T1360" s="2930">
        <v>0</v>
      </c>
    </row>
    <row r="1361" spans="9:22" ht="13.5">
      <c r="I1361" s="2917" t="s">
        <v>5120</v>
      </c>
      <c r="J1361" s="2918" t="s">
        <v>3321</v>
      </c>
      <c r="K1361" s="2919"/>
      <c r="L1361" s="2920">
        <f>+K1361*3</f>
        <v>0</v>
      </c>
      <c r="M1361" s="2921"/>
      <c r="N1361" s="2920">
        <v>0</v>
      </c>
      <c r="O1361" s="2922"/>
      <c r="P1361" s="2923"/>
      <c r="Q1361" s="2924"/>
      <c r="R1361" s="2925">
        <f t="shared" si="31"/>
        <v>0</v>
      </c>
      <c r="S1361" s="2926"/>
      <c r="T1361" s="2927"/>
      <c r="U1361" s="2928" t="s">
        <v>5322</v>
      </c>
      <c r="V1361" s="2926"/>
    </row>
    <row r="1362" spans="9:22" ht="13.5">
      <c r="I1362" s="2832" t="s">
        <v>5232</v>
      </c>
      <c r="J1362" s="2833" t="s">
        <v>5233</v>
      </c>
      <c r="K1362" s="2904"/>
      <c r="L1362" s="2893"/>
      <c r="M1362" s="2905"/>
      <c r="N1362" s="2893"/>
      <c r="O1362" s="2905">
        <v>32</v>
      </c>
      <c r="P1362" s="2906">
        <f>IF(O1362&gt;25,150,(O1362)*6)</f>
        <v>150</v>
      </c>
      <c r="Q1362" s="2907"/>
      <c r="R1362" s="2898">
        <f t="shared" si="31"/>
        <v>150</v>
      </c>
      <c r="S1362" s="2890"/>
      <c r="T1362" s="2888">
        <v>0</v>
      </c>
    </row>
    <row r="1363" spans="9:22" ht="13.5">
      <c r="I1363" s="2942" t="s">
        <v>5194</v>
      </c>
      <c r="J1363" s="2828" t="s">
        <v>5251</v>
      </c>
      <c r="K1363" s="2825"/>
      <c r="L1363" s="2844">
        <v>0</v>
      </c>
      <c r="M1363" s="2826"/>
      <c r="N1363" s="2844">
        <v>0</v>
      </c>
      <c r="O1363" s="2831">
        <v>16</v>
      </c>
      <c r="P1363" s="2848">
        <f>IF(O1363&gt;25,150,(O1363)*6)</f>
        <v>96</v>
      </c>
      <c r="Q1363" s="2850"/>
      <c r="R1363" s="2852">
        <f t="shared" si="31"/>
        <v>96</v>
      </c>
      <c r="T1363" s="2871"/>
    </row>
    <row r="1364" spans="9:22" ht="13.5">
      <c r="I1364" s="2942" t="s">
        <v>5285</v>
      </c>
      <c r="J1364" s="2830" t="s">
        <v>5284</v>
      </c>
      <c r="K1364" s="2825"/>
      <c r="L1364" s="2844">
        <v>0</v>
      </c>
      <c r="M1364" s="2826"/>
      <c r="N1364" s="2844">
        <f>+M1364*3</f>
        <v>0</v>
      </c>
      <c r="O1364" s="2827"/>
      <c r="P1364" s="2847"/>
      <c r="Q1364" s="2849"/>
      <c r="R1364" s="2852">
        <f t="shared" si="31"/>
        <v>0</v>
      </c>
      <c r="T1364" s="2871"/>
    </row>
    <row r="1365" spans="9:22" ht="13.5">
      <c r="I1365" s="2832" t="s">
        <v>5121</v>
      </c>
      <c r="J1365" s="2836" t="s">
        <v>5122</v>
      </c>
      <c r="K1365" s="2892"/>
      <c r="L1365" s="2893">
        <v>0</v>
      </c>
      <c r="M1365" s="2894"/>
      <c r="N1365" s="2893">
        <f>+M1365*3</f>
        <v>0</v>
      </c>
      <c r="O1365" s="2905">
        <v>23</v>
      </c>
      <c r="P1365" s="2906">
        <f>IF(O1365&gt;25,150,(O1365)*6)</f>
        <v>138</v>
      </c>
      <c r="Q1365" s="2897"/>
      <c r="R1365" s="2898">
        <f t="shared" si="31"/>
        <v>138</v>
      </c>
      <c r="S1365" s="2890"/>
      <c r="T1365" s="2888">
        <v>0</v>
      </c>
    </row>
    <row r="1366" spans="9:22" ht="13.5">
      <c r="I1366" s="2942" t="s">
        <v>5235</v>
      </c>
      <c r="J1366" s="2830" t="s">
        <v>5320</v>
      </c>
      <c r="K1366" s="2825"/>
      <c r="L1366" s="2844">
        <v>0</v>
      </c>
      <c r="M1366" s="2826"/>
      <c r="N1366" s="2844">
        <f>+M1366*3</f>
        <v>0</v>
      </c>
      <c r="O1366" s="2831">
        <v>34</v>
      </c>
      <c r="P1366" s="2848">
        <f>IF(O1366&gt;25,150,(O1366)*6)</f>
        <v>150</v>
      </c>
      <c r="Q1366" s="2849"/>
      <c r="R1366" s="2852">
        <f t="shared" si="31"/>
        <v>150</v>
      </c>
      <c r="T1366" s="2871"/>
    </row>
    <row r="1367" spans="9:22" ht="13.5">
      <c r="I1367" s="2942" t="s">
        <v>5237</v>
      </c>
      <c r="J1367" s="2828" t="s">
        <v>5238</v>
      </c>
      <c r="K1367" s="2942"/>
      <c r="L1367" s="2844">
        <f>+K1367*3</f>
        <v>0</v>
      </c>
      <c r="M1367" s="2943"/>
      <c r="N1367" s="2844"/>
      <c r="O1367" s="2831">
        <v>29</v>
      </c>
      <c r="P1367" s="2848">
        <f>IF(O1367&gt;25,150,(O1367)*6)</f>
        <v>150</v>
      </c>
      <c r="Q1367" s="2850"/>
      <c r="R1367" s="2852">
        <f t="shared" ref="R1367:R1373" si="33">+L1367+N1367+P1367+Q1367</f>
        <v>150</v>
      </c>
      <c r="S1367" s="2808"/>
      <c r="T1367" s="2871"/>
    </row>
    <row r="1368" spans="9:22" ht="13.5">
      <c r="I1368" s="2942" t="s">
        <v>5101</v>
      </c>
      <c r="J1368" s="2828" t="s">
        <v>5289</v>
      </c>
      <c r="K1368" s="2825"/>
      <c r="L1368" s="2844">
        <f>+K1368*3</f>
        <v>0</v>
      </c>
      <c r="M1368" s="2826"/>
      <c r="N1368" s="2844">
        <v>0</v>
      </c>
      <c r="O1368" s="2831">
        <v>37</v>
      </c>
      <c r="P1368" s="2848">
        <f>IF(O1368&gt;25,150,(O1368)*6)</f>
        <v>150</v>
      </c>
      <c r="Q1368" s="2850"/>
      <c r="R1368" s="2852">
        <f t="shared" si="33"/>
        <v>150</v>
      </c>
      <c r="T1368" s="2871"/>
    </row>
    <row r="1369" spans="9:22" ht="13.5">
      <c r="I1369" s="2942" t="s">
        <v>5102</v>
      </c>
      <c r="J1369" s="2830" t="s">
        <v>5098</v>
      </c>
      <c r="K1369" s="2825"/>
      <c r="L1369" s="2844">
        <f>+K1369*3</f>
        <v>0</v>
      </c>
      <c r="M1369" s="2826"/>
      <c r="N1369" s="2844">
        <f>+M1369*3</f>
        <v>0</v>
      </c>
      <c r="O1369" s="2827"/>
      <c r="P1369" s="2847"/>
      <c r="Q1369" s="2849"/>
      <c r="R1369" s="2852">
        <f t="shared" si="33"/>
        <v>0</v>
      </c>
      <c r="T1369" s="2871"/>
    </row>
    <row r="1370" spans="9:22" ht="13.5">
      <c r="I1370" s="2942" t="s">
        <v>5103</v>
      </c>
      <c r="J1370" s="2828" t="s">
        <v>5240</v>
      </c>
      <c r="K1370" s="2834"/>
      <c r="L1370" s="2844"/>
      <c r="M1370" s="2943"/>
      <c r="N1370" s="2844"/>
      <c r="O1370" s="2831">
        <v>1</v>
      </c>
      <c r="P1370" s="2848">
        <f>IF(O1370&gt;25,150,(O1370)*6)</f>
        <v>6</v>
      </c>
      <c r="Q1370" s="2850"/>
      <c r="R1370" s="2852">
        <f t="shared" si="33"/>
        <v>6</v>
      </c>
      <c r="S1370" s="2808"/>
      <c r="T1370" s="2871"/>
    </row>
    <row r="1371" spans="9:22" ht="13.5">
      <c r="I1371" s="2942" t="s">
        <v>5324</v>
      </c>
      <c r="J1371" s="2828" t="s">
        <v>5325</v>
      </c>
      <c r="K1371" s="2834"/>
      <c r="L1371" s="2844"/>
      <c r="M1371" s="2943"/>
      <c r="N1371" s="2844"/>
      <c r="O1371" s="2831">
        <v>22</v>
      </c>
      <c r="P1371" s="2848">
        <f>IF(O1371&gt;25,150,(O1371)*6)</f>
        <v>132</v>
      </c>
      <c r="Q1371" s="2850"/>
      <c r="R1371" s="2852">
        <f t="shared" si="33"/>
        <v>132</v>
      </c>
      <c r="S1371" s="2808"/>
      <c r="T1371" s="2871"/>
    </row>
    <row r="1372" spans="9:22" ht="13.5">
      <c r="I1372" s="2837" t="s">
        <v>5312</v>
      </c>
      <c r="J1372" s="2880" t="s">
        <v>5313</v>
      </c>
      <c r="K1372" s="2881"/>
      <c r="L1372" s="2882">
        <v>0</v>
      </c>
      <c r="M1372" s="2883"/>
      <c r="N1372" s="2882">
        <f>+M1372*3</f>
        <v>0</v>
      </c>
      <c r="O1372" s="2884">
        <v>27</v>
      </c>
      <c r="P1372" s="2885">
        <f>IF(O1372&gt;25,150,(O1372)*6)</f>
        <v>150</v>
      </c>
      <c r="Q1372" s="2886"/>
      <c r="R1372" s="2853">
        <f t="shared" si="33"/>
        <v>150</v>
      </c>
      <c r="T1372" s="2871"/>
    </row>
    <row r="1373" spans="9:22" ht="13.5">
      <c r="I1373" s="2839"/>
      <c r="J1373" s="2840"/>
      <c r="K1373" s="2877">
        <f t="shared" ref="K1373:Q1373" si="34">SUM(K1342:K1372)</f>
        <v>0</v>
      </c>
      <c r="L1373" s="2878">
        <f t="shared" si="34"/>
        <v>0</v>
      </c>
      <c r="M1373" s="2877">
        <f t="shared" si="34"/>
        <v>0</v>
      </c>
      <c r="N1373" s="2878">
        <f t="shared" si="34"/>
        <v>0</v>
      </c>
      <c r="O1373" s="2877">
        <f t="shared" si="34"/>
        <v>476</v>
      </c>
      <c r="P1373" s="2879">
        <f t="shared" si="34"/>
        <v>2370</v>
      </c>
      <c r="Q1373" s="2879">
        <f t="shared" si="34"/>
        <v>0</v>
      </c>
      <c r="R1373" s="2878">
        <f t="shared" si="33"/>
        <v>2370</v>
      </c>
      <c r="S1373" s="96"/>
      <c r="T1373" s="2887">
        <f>SUM(T1342:T1372)</f>
        <v>0</v>
      </c>
      <c r="U1373" s="96"/>
      <c r="V1373" s="96"/>
    </row>
    <row r="1375" spans="9:22" ht="13.5">
      <c r="I1375" s="3830" t="s">
        <v>5340</v>
      </c>
      <c r="J1375" s="3830"/>
      <c r="K1375" s="3830"/>
      <c r="L1375" s="3830"/>
      <c r="M1375" s="3830"/>
      <c r="N1375" s="3830"/>
      <c r="O1375" s="3830"/>
      <c r="P1375" s="3830"/>
      <c r="Q1375" s="3830"/>
      <c r="R1375" s="3830"/>
      <c r="T1375" s="2873"/>
    </row>
    <row r="1376" spans="9:22" ht="13.5">
      <c r="I1376" s="2821"/>
      <c r="J1376" s="2821"/>
      <c r="K1376" s="3831" t="s">
        <v>5286</v>
      </c>
      <c r="L1376" s="3832"/>
      <c r="M1376" s="3832"/>
      <c r="N1376" s="3833"/>
      <c r="O1376" s="3832" t="s">
        <v>4643</v>
      </c>
      <c r="P1376" s="3833"/>
      <c r="Q1376" s="2821"/>
      <c r="R1376" s="2821"/>
      <c r="T1376" s="2873"/>
    </row>
    <row r="1377" spans="9:22" ht="40.5">
      <c r="I1377" s="2841" t="s">
        <v>1600</v>
      </c>
      <c r="J1377" s="2841" t="s">
        <v>2067</v>
      </c>
      <c r="K1377" s="2953" t="s">
        <v>5131</v>
      </c>
      <c r="L1377" s="2953" t="s">
        <v>5342</v>
      </c>
      <c r="M1377" s="2822" t="s">
        <v>5131</v>
      </c>
      <c r="N1377" s="2822" t="s">
        <v>5341</v>
      </c>
      <c r="O1377" s="2822" t="s">
        <v>5131</v>
      </c>
      <c r="P1377" s="2822" t="s">
        <v>5343</v>
      </c>
      <c r="Q1377" s="2822" t="s">
        <v>5344</v>
      </c>
      <c r="R1377" s="2842" t="s">
        <v>5294</v>
      </c>
      <c r="T1377" s="2870" t="s">
        <v>5345</v>
      </c>
    </row>
    <row r="1378" spans="9:22" ht="13.5">
      <c r="I1378" s="2823" t="s">
        <v>5281</v>
      </c>
      <c r="J1378" s="2824" t="s">
        <v>5280</v>
      </c>
      <c r="K1378" s="2954"/>
      <c r="L1378" s="2955">
        <f>+K1378*3</f>
        <v>0</v>
      </c>
      <c r="M1378" s="2826">
        <v>18</v>
      </c>
      <c r="N1378" s="2844">
        <v>0</v>
      </c>
      <c r="O1378" s="2827"/>
      <c r="P1378" s="2847"/>
      <c r="Q1378" s="2849"/>
      <c r="R1378" s="2851">
        <f>+L1378+N1378+P1378+Q1378</f>
        <v>0</v>
      </c>
      <c r="T1378" s="2871"/>
    </row>
    <row r="1379" spans="9:22" ht="13.5">
      <c r="I1379" s="2944" t="s">
        <v>3050</v>
      </c>
      <c r="J1379" s="2830" t="s">
        <v>5095</v>
      </c>
      <c r="K1379" s="2954"/>
      <c r="L1379" s="2956">
        <f>+K1379*3</f>
        <v>0</v>
      </c>
      <c r="M1379" s="2826">
        <v>10</v>
      </c>
      <c r="N1379" s="2844">
        <v>0</v>
      </c>
      <c r="O1379" s="2827"/>
      <c r="P1379" s="2847"/>
      <c r="Q1379" s="2849"/>
      <c r="R1379" s="2852">
        <f t="shared" ref="R1379:R1402" si="35">+L1379+N1379+P1379+Q1379</f>
        <v>0</v>
      </c>
      <c r="T1379" s="2871"/>
    </row>
    <row r="1380" spans="9:22" ht="13.5">
      <c r="I1380" s="2944" t="s">
        <v>706</v>
      </c>
      <c r="J1380" s="2828" t="s">
        <v>5254</v>
      </c>
      <c r="K1380" s="2954"/>
      <c r="L1380" s="2956">
        <f>+K1380*3</f>
        <v>0</v>
      </c>
      <c r="M1380" s="2826">
        <v>28</v>
      </c>
      <c r="N1380" s="2844">
        <f>+M1380*3</f>
        <v>84</v>
      </c>
      <c r="O1380" s="2831">
        <f>0+3+14</f>
        <v>17</v>
      </c>
      <c r="P1380" s="2848">
        <f>IF(O1380&gt;25,150,(O1380)*6)</f>
        <v>102</v>
      </c>
      <c r="Q1380" s="2850"/>
      <c r="R1380" s="2852">
        <f t="shared" si="35"/>
        <v>186</v>
      </c>
      <c r="T1380" s="2871"/>
      <c r="U1380" s="3828">
        <v>43096</v>
      </c>
      <c r="V1380" s="3829"/>
    </row>
    <row r="1381" spans="9:22" ht="13.5">
      <c r="I1381" s="2832" t="s">
        <v>4269</v>
      </c>
      <c r="J1381" s="2833" t="s">
        <v>5255</v>
      </c>
      <c r="K1381" s="2957"/>
      <c r="L1381" s="2956"/>
      <c r="M1381" s="2905"/>
      <c r="N1381" s="2893"/>
      <c r="O1381" s="2905"/>
      <c r="P1381" s="2906">
        <f>IF(O1381&gt;25,150,(O1381)*6)</f>
        <v>0</v>
      </c>
      <c r="Q1381" s="2907"/>
      <c r="R1381" s="2898">
        <f t="shared" si="35"/>
        <v>0</v>
      </c>
      <c r="S1381" s="2890"/>
      <c r="T1381" s="2888">
        <v>0</v>
      </c>
    </row>
    <row r="1382" spans="9:22" ht="13.5">
      <c r="I1382" s="2908" t="s">
        <v>290</v>
      </c>
      <c r="J1382" s="2909" t="s">
        <v>464</v>
      </c>
      <c r="K1382" s="2954"/>
      <c r="L1382" s="2956">
        <f>+K1382*5</f>
        <v>0</v>
      </c>
      <c r="M1382" s="2912">
        <f>5+8+8</f>
        <v>21</v>
      </c>
      <c r="N1382" s="2911">
        <f>+M1382*5</f>
        <v>105</v>
      </c>
      <c r="O1382" s="2913"/>
      <c r="P1382" s="2914"/>
      <c r="Q1382" s="2915"/>
      <c r="R1382" s="2916">
        <f t="shared" si="35"/>
        <v>105</v>
      </c>
      <c r="S1382" s="2873"/>
      <c r="T1382" s="2871">
        <v>0</v>
      </c>
    </row>
    <row r="1383" spans="9:22" ht="17.25" thickBot="1">
      <c r="I1383" s="2944" t="s">
        <v>646</v>
      </c>
      <c r="J1383" s="2828" t="s">
        <v>5318</v>
      </c>
      <c r="K1383" s="2954"/>
      <c r="L1383" s="2956">
        <f>+K1383*3</f>
        <v>0</v>
      </c>
      <c r="M1383" s="2945">
        <f>4+6+6+7+3</f>
        <v>26</v>
      </c>
      <c r="N1383" s="2844">
        <f>+M1383*3</f>
        <v>78</v>
      </c>
      <c r="O1383" s="2831"/>
      <c r="P1383" s="2848">
        <f>IF(O1383&gt;25,150,(O1383)*6)</f>
        <v>0</v>
      </c>
      <c r="Q1383" s="2850"/>
      <c r="R1383" s="2852">
        <f t="shared" si="35"/>
        <v>78</v>
      </c>
      <c r="T1383" s="2871"/>
      <c r="U1383" s="2931" t="s">
        <v>3152</v>
      </c>
      <c r="V1383" s="2932" t="s">
        <v>5328</v>
      </c>
    </row>
    <row r="1384" spans="9:22" ht="13.5">
      <c r="I1384" s="2944" t="s">
        <v>5217</v>
      </c>
      <c r="J1384" s="2828" t="s">
        <v>5218</v>
      </c>
      <c r="K1384" s="2954"/>
      <c r="L1384" s="2956">
        <v>0</v>
      </c>
      <c r="M1384" s="2945">
        <f>4+4+5+3+4</f>
        <v>20</v>
      </c>
      <c r="N1384" s="2844">
        <f>+M1384*3</f>
        <v>60</v>
      </c>
      <c r="O1384" s="2831">
        <f>0+3+10</f>
        <v>13</v>
      </c>
      <c r="P1384" s="2848">
        <f>IF(O1384&gt;25,150,(O1384)*6)</f>
        <v>78</v>
      </c>
      <c r="Q1384" s="2850"/>
      <c r="R1384" s="2852">
        <f t="shared" si="35"/>
        <v>138</v>
      </c>
      <c r="T1384" s="2871"/>
      <c r="U1384" s="2933" t="s">
        <v>5327</v>
      </c>
      <c r="V1384" s="2934">
        <v>150</v>
      </c>
    </row>
    <row r="1385" spans="9:22" ht="13.5">
      <c r="I1385" s="2832" t="s">
        <v>416</v>
      </c>
      <c r="J1385" s="2833" t="s">
        <v>5219</v>
      </c>
      <c r="K1385" s="2957"/>
      <c r="L1385" s="2956"/>
      <c r="M1385" s="2905"/>
      <c r="N1385" s="2893"/>
      <c r="O1385" s="2905">
        <v>41</v>
      </c>
      <c r="P1385" s="2906">
        <f t="shared" ref="P1385:P1397" si="36">IF(O1385&gt;25,150,(O1385)*6)</f>
        <v>150</v>
      </c>
      <c r="Q1385" s="2907"/>
      <c r="R1385" s="2898">
        <f t="shared" si="35"/>
        <v>150</v>
      </c>
      <c r="S1385" s="2890"/>
      <c r="T1385" s="2888">
        <v>0</v>
      </c>
      <c r="U1385" s="2935" t="s">
        <v>2920</v>
      </c>
      <c r="V1385" s="2936">
        <v>106</v>
      </c>
    </row>
    <row r="1386" spans="9:22" ht="13.5">
      <c r="I1386" s="2944" t="s">
        <v>5193</v>
      </c>
      <c r="J1386" s="2828" t="s">
        <v>5224</v>
      </c>
      <c r="K1386" s="2957"/>
      <c r="L1386" s="2956"/>
      <c r="M1386" s="2945"/>
      <c r="N1386" s="2844"/>
      <c r="O1386" s="2831">
        <f>10+15+8</f>
        <v>33</v>
      </c>
      <c r="P1386" s="2848">
        <f t="shared" si="36"/>
        <v>150</v>
      </c>
      <c r="Q1386" s="2850"/>
      <c r="R1386" s="2852">
        <f t="shared" si="35"/>
        <v>150</v>
      </c>
      <c r="T1386" s="2871"/>
      <c r="U1386" s="2937" t="s">
        <v>1211</v>
      </c>
      <c r="V1386" s="2938">
        <v>200</v>
      </c>
    </row>
    <row r="1387" spans="9:22" ht="13.5">
      <c r="I1387" s="2944" t="s">
        <v>5128</v>
      </c>
      <c r="J1387" s="2828" t="s">
        <v>5220</v>
      </c>
      <c r="K1387" s="2954"/>
      <c r="L1387" s="2956">
        <v>0</v>
      </c>
      <c r="M1387" s="2826"/>
      <c r="N1387" s="2844">
        <v>0</v>
      </c>
      <c r="O1387" s="2831">
        <f>0+11+8</f>
        <v>19</v>
      </c>
      <c r="P1387" s="2848">
        <f t="shared" si="36"/>
        <v>114</v>
      </c>
      <c r="Q1387" s="2850"/>
      <c r="R1387" s="2852">
        <f t="shared" si="35"/>
        <v>114</v>
      </c>
      <c r="T1387" s="2871"/>
      <c r="U1387" s="2937" t="s">
        <v>5261</v>
      </c>
      <c r="V1387" s="2938">
        <v>187.5</v>
      </c>
    </row>
    <row r="1388" spans="9:22" ht="13.5">
      <c r="I1388" s="2944" t="s">
        <v>5118</v>
      </c>
      <c r="J1388" s="2830" t="s">
        <v>5319</v>
      </c>
      <c r="K1388" s="2954"/>
      <c r="L1388" s="2956">
        <f>+K1388*3</f>
        <v>0</v>
      </c>
      <c r="M1388" s="2826">
        <f>4+8+6+4+4</f>
        <v>26</v>
      </c>
      <c r="N1388" s="2844">
        <f>+M1388*3</f>
        <v>78</v>
      </c>
      <c r="O1388" s="2831"/>
      <c r="P1388" s="2848">
        <f t="shared" si="36"/>
        <v>0</v>
      </c>
      <c r="Q1388" s="2849"/>
      <c r="R1388" s="2852">
        <f t="shared" si="35"/>
        <v>78</v>
      </c>
      <c r="T1388" s="2871"/>
      <c r="U1388" s="2937" t="s">
        <v>1224</v>
      </c>
      <c r="V1388" s="2938">
        <v>100</v>
      </c>
    </row>
    <row r="1389" spans="9:22" ht="13.5">
      <c r="I1389" s="2944" t="s">
        <v>5222</v>
      </c>
      <c r="J1389" s="2828" t="s">
        <v>5223</v>
      </c>
      <c r="K1389" s="2957"/>
      <c r="L1389" s="2956"/>
      <c r="M1389" s="2945"/>
      <c r="N1389" s="2844"/>
      <c r="O1389" s="2831">
        <f>8+21+10</f>
        <v>39</v>
      </c>
      <c r="P1389" s="2848">
        <f t="shared" si="36"/>
        <v>150</v>
      </c>
      <c r="Q1389" s="2850"/>
      <c r="R1389" s="2852">
        <f t="shared" si="35"/>
        <v>150</v>
      </c>
      <c r="T1389" s="2871"/>
      <c r="U1389" s="2937" t="s">
        <v>5267</v>
      </c>
      <c r="V1389" s="2938">
        <v>231</v>
      </c>
    </row>
    <row r="1390" spans="9:22" ht="13.5">
      <c r="I1390" s="2944" t="s">
        <v>5252</v>
      </c>
      <c r="J1390" s="2828" t="s">
        <v>5253</v>
      </c>
      <c r="K1390" s="2954"/>
      <c r="L1390" s="2956">
        <f>+K1390*3</f>
        <v>0</v>
      </c>
      <c r="M1390" s="2826">
        <f>4+6+6+4+4</f>
        <v>24</v>
      </c>
      <c r="N1390" s="2844">
        <f>+M1390*3</f>
        <v>72</v>
      </c>
      <c r="O1390" s="2831"/>
      <c r="P1390" s="2848">
        <f t="shared" si="36"/>
        <v>0</v>
      </c>
      <c r="Q1390" s="2850"/>
      <c r="R1390" s="2852">
        <f t="shared" si="35"/>
        <v>72</v>
      </c>
      <c r="T1390" s="2871"/>
      <c r="U1390" s="2939"/>
      <c r="V1390" s="2940">
        <f>SUM(V1384:V1389)</f>
        <v>974.5</v>
      </c>
    </row>
    <row r="1391" spans="9:22" ht="13.5">
      <c r="I1391" s="2944" t="s">
        <v>799</v>
      </c>
      <c r="J1391" s="2828" t="s">
        <v>5225</v>
      </c>
      <c r="K1391" s="2957"/>
      <c r="L1391" s="2956"/>
      <c r="M1391" s="2945"/>
      <c r="N1391" s="2844"/>
      <c r="O1391" s="2831"/>
      <c r="P1391" s="2848">
        <f t="shared" si="36"/>
        <v>0</v>
      </c>
      <c r="Q1391" s="2850"/>
      <c r="R1391" s="2852">
        <f t="shared" si="35"/>
        <v>0</v>
      </c>
      <c r="T1391" s="2871"/>
    </row>
    <row r="1392" spans="9:22" ht="13.5">
      <c r="I1392" s="2944" t="s">
        <v>793</v>
      </c>
      <c r="J1392" s="2828" t="s">
        <v>5226</v>
      </c>
      <c r="K1392" s="2957"/>
      <c r="L1392" s="2956"/>
      <c r="M1392" s="2945"/>
      <c r="N1392" s="2844"/>
      <c r="O1392" s="2831">
        <f>12+16+0</f>
        <v>28</v>
      </c>
      <c r="P1392" s="2848">
        <f t="shared" si="36"/>
        <v>150</v>
      </c>
      <c r="Q1392" s="2850"/>
      <c r="R1392" s="2852">
        <f t="shared" si="35"/>
        <v>150</v>
      </c>
      <c r="T1392" s="2871"/>
    </row>
    <row r="1393" spans="9:23" ht="13.5">
      <c r="I1393" s="2944" t="s">
        <v>5227</v>
      </c>
      <c r="J1393" s="2828" t="s">
        <v>5228</v>
      </c>
      <c r="K1393" s="2957"/>
      <c r="L1393" s="2956"/>
      <c r="M1393" s="2945"/>
      <c r="N1393" s="2844"/>
      <c r="O1393" s="2831"/>
      <c r="P1393" s="2848">
        <f t="shared" si="36"/>
        <v>0</v>
      </c>
      <c r="Q1393" s="2850"/>
      <c r="R1393" s="2852">
        <f t="shared" si="35"/>
        <v>0</v>
      </c>
      <c r="T1393" s="2871"/>
      <c r="U1393">
        <f>10+18+28+21+26+20+26+21+7+19+24</f>
        <v>220</v>
      </c>
      <c r="V1393">
        <f>3+5+4+3+2+4+1+1+2+3</f>
        <v>28</v>
      </c>
    </row>
    <row r="1394" spans="9:23" ht="13.5">
      <c r="I1394" s="2944" t="s">
        <v>5287</v>
      </c>
      <c r="J1394" s="2828" t="s">
        <v>5288</v>
      </c>
      <c r="K1394" s="2957"/>
      <c r="L1394" s="2956"/>
      <c r="M1394" s="2945"/>
      <c r="N1394" s="2844"/>
      <c r="O1394" s="2831">
        <f>10+19+4</f>
        <v>33</v>
      </c>
      <c r="P1394" s="2848">
        <f t="shared" si="36"/>
        <v>150</v>
      </c>
      <c r="Q1394" s="2850"/>
      <c r="R1394" s="2852">
        <f t="shared" si="35"/>
        <v>150</v>
      </c>
      <c r="T1394" s="2871"/>
      <c r="V1394">
        <f>+U1393-V1393</f>
        <v>192</v>
      </c>
    </row>
    <row r="1395" spans="9:23" ht="13.5">
      <c r="I1395" s="2944" t="s">
        <v>5100</v>
      </c>
      <c r="J1395" s="2828" t="s">
        <v>5229</v>
      </c>
      <c r="K1395" s="2957"/>
      <c r="L1395" s="2956"/>
      <c r="M1395" s="2945"/>
      <c r="N1395" s="2844"/>
      <c r="O1395" s="2831">
        <f>10+8+0</f>
        <v>18</v>
      </c>
      <c r="P1395" s="2848">
        <f t="shared" si="36"/>
        <v>108</v>
      </c>
      <c r="Q1395" s="2850"/>
      <c r="R1395" s="2852">
        <f t="shared" si="35"/>
        <v>108</v>
      </c>
      <c r="T1395" s="2871"/>
    </row>
    <row r="1396" spans="9:23" ht="13.5">
      <c r="I1396" s="2832" t="s">
        <v>5230</v>
      </c>
      <c r="J1396" s="2833" t="s">
        <v>5231</v>
      </c>
      <c r="K1396" s="2957"/>
      <c r="L1396" s="2956"/>
      <c r="M1396" s="2905"/>
      <c r="N1396" s="2893"/>
      <c r="O1396" s="2905">
        <f>10+19+8</f>
        <v>37</v>
      </c>
      <c r="P1396" s="2906">
        <f t="shared" si="36"/>
        <v>150</v>
      </c>
      <c r="Q1396" s="2907"/>
      <c r="R1396" s="2898">
        <f t="shared" si="35"/>
        <v>150</v>
      </c>
      <c r="S1396" s="2890"/>
      <c r="T1396" s="2930">
        <v>0</v>
      </c>
    </row>
    <row r="1397" spans="9:23" ht="14.25">
      <c r="I1397" s="2917" t="s">
        <v>5120</v>
      </c>
      <c r="J1397" s="2918" t="s">
        <v>3321</v>
      </c>
      <c r="K1397" s="2958"/>
      <c r="L1397" s="2959">
        <f>+K1397*3</f>
        <v>0</v>
      </c>
      <c r="M1397" s="2921">
        <f>4+2+2+8+5</f>
        <v>21</v>
      </c>
      <c r="N1397" s="2920">
        <f>+M1397*3</f>
        <v>63</v>
      </c>
      <c r="O1397" s="2965">
        <f>0+7+12</f>
        <v>19</v>
      </c>
      <c r="P1397" s="2923">
        <f t="shared" si="36"/>
        <v>114</v>
      </c>
      <c r="Q1397" s="2924"/>
      <c r="R1397" s="2925">
        <f t="shared" si="35"/>
        <v>177</v>
      </c>
      <c r="S1397" s="2966">
        <f>720+63</f>
        <v>783</v>
      </c>
      <c r="T1397" s="2927"/>
      <c r="U1397" s="2928" t="s">
        <v>5322</v>
      </c>
      <c r="V1397" s="2926"/>
      <c r="W1397" s="2765"/>
    </row>
    <row r="1398" spans="9:23" ht="13.5">
      <c r="I1398" s="2832" t="s">
        <v>5232</v>
      </c>
      <c r="J1398" s="2833" t="s">
        <v>5233</v>
      </c>
      <c r="K1398" s="2957"/>
      <c r="L1398" s="2956"/>
      <c r="M1398" s="2905"/>
      <c r="N1398" s="2893"/>
      <c r="O1398" s="2905">
        <f>0+16+10</f>
        <v>26</v>
      </c>
      <c r="P1398" s="2906">
        <f>IF(O1398&gt;25,150,(O1398)*6)</f>
        <v>150</v>
      </c>
      <c r="Q1398" s="2907"/>
      <c r="R1398" s="2898">
        <f t="shared" si="35"/>
        <v>150</v>
      </c>
      <c r="S1398" s="2890"/>
      <c r="T1398" s="2888">
        <v>0</v>
      </c>
    </row>
    <row r="1399" spans="9:23" ht="13.5">
      <c r="I1399" s="2944" t="s">
        <v>5194</v>
      </c>
      <c r="J1399" s="2828" t="s">
        <v>5251</v>
      </c>
      <c r="K1399" s="2954"/>
      <c r="L1399" s="2956">
        <v>0</v>
      </c>
      <c r="M1399" s="2826"/>
      <c r="N1399" s="2844">
        <v>0</v>
      </c>
      <c r="O1399" s="2831">
        <f>12+17+8</f>
        <v>37</v>
      </c>
      <c r="P1399" s="2848">
        <f>IF(O1399&gt;25,150,(O1399)*6)</f>
        <v>150</v>
      </c>
      <c r="Q1399" s="2850"/>
      <c r="R1399" s="2852">
        <f t="shared" si="35"/>
        <v>150</v>
      </c>
      <c r="T1399" s="2871"/>
    </row>
    <row r="1400" spans="9:23" ht="13.5">
      <c r="I1400" s="2944" t="s">
        <v>5285</v>
      </c>
      <c r="J1400" s="2830" t="s">
        <v>5284</v>
      </c>
      <c r="K1400" s="2954"/>
      <c r="L1400" s="2956">
        <v>0</v>
      </c>
      <c r="M1400" s="2826"/>
      <c r="N1400" s="2844">
        <f>+M1400*3</f>
        <v>0</v>
      </c>
      <c r="O1400" s="2827"/>
      <c r="P1400" s="2847"/>
      <c r="Q1400" s="2849"/>
      <c r="R1400" s="2852">
        <f t="shared" si="35"/>
        <v>0</v>
      </c>
      <c r="T1400" s="2871"/>
      <c r="U1400">
        <v>989.7</v>
      </c>
      <c r="W1400">
        <f>+W1402*(1+V1401)</f>
        <v>812.95180357684148</v>
      </c>
    </row>
    <row r="1401" spans="9:23" ht="13.5">
      <c r="I1401" s="2832" t="s">
        <v>5121</v>
      </c>
      <c r="J1401" s="2836" t="s">
        <v>5122</v>
      </c>
      <c r="K1401" s="2954"/>
      <c r="L1401" s="2956">
        <v>0</v>
      </c>
      <c r="M1401" s="2894"/>
      <c r="N1401" s="2893">
        <f>+M1401*3</f>
        <v>0</v>
      </c>
      <c r="O1401" s="2905">
        <f>10+17+12</f>
        <v>39</v>
      </c>
      <c r="P1401" s="2906">
        <f t="shared" ref="P1401:P1408" si="37">IF(O1401&gt;25,150,(O1401)*6)</f>
        <v>150</v>
      </c>
      <c r="Q1401" s="2897"/>
      <c r="R1401" s="2898">
        <f t="shared" si="35"/>
        <v>150</v>
      </c>
      <c r="S1401" s="2890"/>
      <c r="T1401" s="2888">
        <v>0</v>
      </c>
      <c r="U1401">
        <v>127.77</v>
      </c>
      <c r="V1401">
        <f>+U1401/U1400</f>
        <v>0.12909972719005758</v>
      </c>
      <c r="W1401">
        <f>+W1400-W1402</f>
        <v>92.951803576841485</v>
      </c>
    </row>
    <row r="1402" spans="9:23" ht="13.5">
      <c r="I1402" s="2944" t="s">
        <v>5235</v>
      </c>
      <c r="J1402" s="2830" t="s">
        <v>5320</v>
      </c>
      <c r="K1402" s="2954"/>
      <c r="L1402" s="2956">
        <v>0</v>
      </c>
      <c r="M1402" s="2826"/>
      <c r="N1402" s="2844">
        <f>+M1402*3</f>
        <v>0</v>
      </c>
      <c r="O1402" s="2831">
        <f>8+21+10</f>
        <v>39</v>
      </c>
      <c r="P1402" s="2848">
        <f t="shared" si="37"/>
        <v>150</v>
      </c>
      <c r="Q1402" s="2849"/>
      <c r="R1402" s="2852">
        <f t="shared" si="35"/>
        <v>150</v>
      </c>
      <c r="T1402" s="2871"/>
      <c r="U1402">
        <v>861.93</v>
      </c>
      <c r="W1402">
        <v>720</v>
      </c>
    </row>
    <row r="1403" spans="9:23" ht="13.5">
      <c r="I1403" s="2944" t="s">
        <v>5237</v>
      </c>
      <c r="J1403" s="2828" t="s">
        <v>5238</v>
      </c>
      <c r="K1403" s="2960"/>
      <c r="L1403" s="2956">
        <f>+K1403*3</f>
        <v>0</v>
      </c>
      <c r="M1403" s="2945"/>
      <c r="N1403" s="2844"/>
      <c r="O1403" s="2831">
        <f>10+16+10</f>
        <v>36</v>
      </c>
      <c r="P1403" s="2848">
        <f t="shared" si="37"/>
        <v>150</v>
      </c>
      <c r="Q1403" s="2850"/>
      <c r="R1403" s="2852">
        <f t="shared" ref="R1403:R1409" si="38">+L1403+N1403+P1403+Q1403</f>
        <v>150</v>
      </c>
      <c r="S1403" s="2808"/>
      <c r="T1403" s="2871"/>
    </row>
    <row r="1404" spans="9:23" ht="13.5">
      <c r="I1404" s="2944" t="s">
        <v>5101</v>
      </c>
      <c r="J1404" s="2828" t="s">
        <v>5289</v>
      </c>
      <c r="K1404" s="2954"/>
      <c r="L1404" s="2956">
        <f>+K1404*3</f>
        <v>0</v>
      </c>
      <c r="M1404" s="2826"/>
      <c r="N1404" s="2844">
        <v>0</v>
      </c>
      <c r="O1404" s="2831">
        <f>8+2+0</f>
        <v>10</v>
      </c>
      <c r="P1404" s="2848">
        <f t="shared" si="37"/>
        <v>60</v>
      </c>
      <c r="Q1404" s="2850"/>
      <c r="R1404" s="2852">
        <f t="shared" si="38"/>
        <v>60</v>
      </c>
      <c r="T1404" s="2871"/>
    </row>
    <row r="1405" spans="9:23" ht="13.5">
      <c r="I1405" s="2944" t="s">
        <v>5102</v>
      </c>
      <c r="J1405" s="2830" t="s">
        <v>5098</v>
      </c>
      <c r="K1405" s="2954"/>
      <c r="L1405" s="2956">
        <f>+K1405*3</f>
        <v>0</v>
      </c>
      <c r="M1405" s="2826">
        <f>5+2</f>
        <v>7</v>
      </c>
      <c r="N1405" s="2844">
        <v>0</v>
      </c>
      <c r="O1405" s="2945">
        <f>0+8+0</f>
        <v>8</v>
      </c>
      <c r="P1405" s="2847">
        <f t="shared" si="37"/>
        <v>48</v>
      </c>
      <c r="Q1405" s="2849"/>
      <c r="R1405" s="2852">
        <f t="shared" si="38"/>
        <v>48</v>
      </c>
      <c r="T1405" s="2871"/>
    </row>
    <row r="1406" spans="9:23" ht="13.5">
      <c r="I1406" s="2944" t="s">
        <v>5103</v>
      </c>
      <c r="J1406" s="2828" t="s">
        <v>5240</v>
      </c>
      <c r="K1406" s="2957"/>
      <c r="L1406" s="2956"/>
      <c r="M1406" s="2945">
        <f>3+4+4+4+4</f>
        <v>19</v>
      </c>
      <c r="N1406" s="2844">
        <f>+M1406*3</f>
        <v>57</v>
      </c>
      <c r="O1406" s="2831"/>
      <c r="P1406" s="2848">
        <f t="shared" si="37"/>
        <v>0</v>
      </c>
      <c r="Q1406" s="2850"/>
      <c r="R1406" s="2852">
        <f t="shared" si="38"/>
        <v>57</v>
      </c>
      <c r="S1406" s="2808"/>
      <c r="T1406" s="2871"/>
    </row>
    <row r="1407" spans="9:23" ht="13.5">
      <c r="I1407" s="2944" t="s">
        <v>5324</v>
      </c>
      <c r="J1407" s="2828" t="s">
        <v>5325</v>
      </c>
      <c r="K1407" s="2957"/>
      <c r="L1407" s="2956"/>
      <c r="M1407" s="2945"/>
      <c r="N1407" s="2844"/>
      <c r="O1407" s="2831">
        <f>6+8+0</f>
        <v>14</v>
      </c>
      <c r="P1407" s="2848">
        <f t="shared" si="37"/>
        <v>84</v>
      </c>
      <c r="Q1407" s="2850"/>
      <c r="R1407" s="2852">
        <f t="shared" si="38"/>
        <v>84</v>
      </c>
      <c r="S1407" s="2808"/>
      <c r="T1407" s="2871"/>
    </row>
    <row r="1408" spans="9:23" ht="13.5">
      <c r="I1408" s="2837" t="s">
        <v>5312</v>
      </c>
      <c r="J1408" s="2880" t="s">
        <v>5313</v>
      </c>
      <c r="K1408" s="2961"/>
      <c r="L1408" s="2962">
        <v>0</v>
      </c>
      <c r="M1408" s="2883"/>
      <c r="N1408" s="2882">
        <f>+M1408*3</f>
        <v>0</v>
      </c>
      <c r="O1408" s="2884">
        <f>0+10+8</f>
        <v>18</v>
      </c>
      <c r="P1408" s="2885">
        <f t="shared" si="37"/>
        <v>108</v>
      </c>
      <c r="Q1408" s="2886"/>
      <c r="R1408" s="2853">
        <f t="shared" si="38"/>
        <v>108</v>
      </c>
      <c r="T1408" s="2871"/>
    </row>
    <row r="1409" spans="9:22" ht="13.5">
      <c r="I1409" s="2839"/>
      <c r="J1409" s="2840"/>
      <c r="K1409" s="2963">
        <f t="shared" ref="K1409:Q1409" si="39">SUM(K1378:K1408)</f>
        <v>0</v>
      </c>
      <c r="L1409" s="2964">
        <f t="shared" si="39"/>
        <v>0</v>
      </c>
      <c r="M1409" s="2877">
        <f t="shared" si="39"/>
        <v>220</v>
      </c>
      <c r="N1409" s="2878">
        <f t="shared" si="39"/>
        <v>597</v>
      </c>
      <c r="O1409" s="2877">
        <f t="shared" si="39"/>
        <v>524</v>
      </c>
      <c r="P1409" s="2879">
        <f t="shared" si="39"/>
        <v>2466</v>
      </c>
      <c r="Q1409" s="2879">
        <f t="shared" si="39"/>
        <v>0</v>
      </c>
      <c r="R1409" s="2878">
        <f t="shared" si="38"/>
        <v>3063</v>
      </c>
      <c r="S1409" s="96"/>
      <c r="T1409" s="2887">
        <f>SUM(T1378:T1408)</f>
        <v>0</v>
      </c>
      <c r="U1409" s="96"/>
      <c r="V1409" s="96"/>
    </row>
    <row r="1411" spans="9:22">
      <c r="N1411" s="1866"/>
      <c r="R1411" s="68">
        <f>+R1409-R1397</f>
        <v>2886</v>
      </c>
    </row>
    <row r="1413" spans="9:22" ht="13.5">
      <c r="I1413" s="3830" t="s">
        <v>5347</v>
      </c>
      <c r="J1413" s="3830"/>
      <c r="K1413" s="3830"/>
      <c r="L1413" s="3830"/>
      <c r="M1413" s="3830"/>
      <c r="N1413" s="3830"/>
      <c r="O1413" s="3830"/>
      <c r="P1413" s="3830"/>
      <c r="Q1413" s="3830"/>
      <c r="R1413" s="3830"/>
      <c r="T1413" s="2873"/>
    </row>
    <row r="1414" spans="9:22" ht="13.5">
      <c r="I1414" s="2821"/>
      <c r="J1414" s="2821"/>
      <c r="K1414" s="3831" t="s">
        <v>5286</v>
      </c>
      <c r="L1414" s="3832"/>
      <c r="M1414" s="3832"/>
      <c r="N1414" s="3833"/>
      <c r="O1414" s="3832" t="s">
        <v>4643</v>
      </c>
      <c r="P1414" s="3833"/>
      <c r="Q1414" s="2821"/>
      <c r="R1414" s="2821"/>
      <c r="T1414" s="2873"/>
    </row>
    <row r="1415" spans="9:22" ht="40.5">
      <c r="I1415" s="2841" t="s">
        <v>1600</v>
      </c>
      <c r="J1415" s="2841" t="s">
        <v>2067</v>
      </c>
      <c r="K1415" s="2953" t="s">
        <v>5131</v>
      </c>
      <c r="L1415" s="2953" t="s">
        <v>5342</v>
      </c>
      <c r="M1415" s="2822" t="s">
        <v>5131</v>
      </c>
      <c r="N1415" s="2822" t="s">
        <v>5341</v>
      </c>
      <c r="O1415" s="2822" t="s">
        <v>5131</v>
      </c>
      <c r="P1415" s="2822" t="s">
        <v>5349</v>
      </c>
      <c r="Q1415" s="2822" t="s">
        <v>5350</v>
      </c>
      <c r="R1415" s="2842" t="s">
        <v>5294</v>
      </c>
      <c r="T1415" s="2870" t="s">
        <v>5348</v>
      </c>
    </row>
    <row r="1416" spans="9:22" ht="13.5">
      <c r="I1416" s="2823" t="s">
        <v>5281</v>
      </c>
      <c r="J1416" s="2824" t="s">
        <v>5280</v>
      </c>
      <c r="K1416" s="2825"/>
      <c r="L1416" s="2846">
        <f>+K1416*3</f>
        <v>0</v>
      </c>
      <c r="M1416" s="2826"/>
      <c r="N1416" s="2844">
        <v>0</v>
      </c>
      <c r="O1416" s="2827"/>
      <c r="P1416" s="2847"/>
      <c r="Q1416" s="2849"/>
      <c r="R1416" s="2851">
        <f>+L1416+N1416+P1416+Q1416</f>
        <v>0</v>
      </c>
      <c r="S1416" s="2396"/>
      <c r="T1416" s="2871"/>
    </row>
    <row r="1417" spans="9:22" ht="13.5">
      <c r="I1417" s="2967" t="s">
        <v>3050</v>
      </c>
      <c r="J1417" s="2830" t="s">
        <v>5095</v>
      </c>
      <c r="K1417" s="2825"/>
      <c r="L1417" s="2844">
        <f>+K1417*3</f>
        <v>0</v>
      </c>
      <c r="M1417" s="2826"/>
      <c r="N1417" s="2844">
        <v>0</v>
      </c>
      <c r="O1417" s="2827"/>
      <c r="P1417" s="2847"/>
      <c r="Q1417" s="2849"/>
      <c r="R1417" s="2852">
        <f t="shared" ref="R1417:R1440" si="40">+L1417+N1417+P1417+Q1417</f>
        <v>0</v>
      </c>
      <c r="S1417" s="2396"/>
    </row>
    <row r="1418" spans="9:22" ht="13.5">
      <c r="I1418" s="2967" t="s">
        <v>706</v>
      </c>
      <c r="J1418" s="2828" t="s">
        <v>5254</v>
      </c>
      <c r="K1418" s="2825"/>
      <c r="L1418" s="2844">
        <f>+K1418*3</f>
        <v>0</v>
      </c>
      <c r="M1418" s="2826"/>
      <c r="N1418" s="2844">
        <f>+M1418*3</f>
        <v>0</v>
      </c>
      <c r="O1418" s="2968">
        <v>31</v>
      </c>
      <c r="P1418" s="2848">
        <f>IF(O1418&gt;25,150,(O1418)*6)</f>
        <v>150</v>
      </c>
      <c r="Q1418" s="2850"/>
      <c r="R1418" s="2852">
        <f t="shared" si="40"/>
        <v>150</v>
      </c>
      <c r="S1418" s="2396"/>
      <c r="T1418" s="2871"/>
      <c r="U1418" s="3828">
        <v>43109</v>
      </c>
      <c r="V1418" s="3829"/>
    </row>
    <row r="1419" spans="9:22" ht="13.5">
      <c r="I1419" s="2967" t="s">
        <v>4269</v>
      </c>
      <c r="J1419" s="2828" t="s">
        <v>5255</v>
      </c>
      <c r="K1419" s="2834"/>
      <c r="L1419" s="2844"/>
      <c r="M1419" s="2968"/>
      <c r="N1419" s="2844"/>
      <c r="O1419" s="2968"/>
      <c r="P1419" s="2848">
        <f>IF(O1419&gt;25,150,(O1419)*6)</f>
        <v>0</v>
      </c>
      <c r="Q1419" s="2850"/>
      <c r="R1419" s="2852">
        <f t="shared" si="40"/>
        <v>0</v>
      </c>
      <c r="S1419" s="2396"/>
      <c r="T1419" s="2871"/>
    </row>
    <row r="1420" spans="9:22" ht="13.5">
      <c r="I1420" s="2967" t="s">
        <v>290</v>
      </c>
      <c r="J1420" s="2830" t="s">
        <v>464</v>
      </c>
      <c r="K1420" s="2825"/>
      <c r="L1420" s="2844">
        <f>+K1420*5</f>
        <v>0</v>
      </c>
      <c r="M1420" s="2826"/>
      <c r="N1420" s="2844">
        <f>+M1420*5</f>
        <v>0</v>
      </c>
      <c r="O1420" s="2827"/>
      <c r="P1420" s="2847"/>
      <c r="Q1420" s="2849"/>
      <c r="R1420" s="2852">
        <f t="shared" si="40"/>
        <v>0</v>
      </c>
      <c r="S1420" s="2396"/>
      <c r="T1420" s="2871"/>
    </row>
    <row r="1421" spans="9:22" ht="13.5">
      <c r="I1421" s="2967" t="s">
        <v>646</v>
      </c>
      <c r="J1421" s="2828" t="s">
        <v>5318</v>
      </c>
      <c r="K1421" s="2825"/>
      <c r="L1421" s="2844">
        <f>+K1421*3</f>
        <v>0</v>
      </c>
      <c r="M1421" s="2968"/>
      <c r="N1421" s="2844">
        <f>+M1421*3</f>
        <v>0</v>
      </c>
      <c r="O1421" s="2968">
        <v>16</v>
      </c>
      <c r="P1421" s="2848">
        <f>IF(O1421&gt;25,150,(O1421)*6)</f>
        <v>96</v>
      </c>
      <c r="Q1421" s="2850"/>
      <c r="R1421" s="2852">
        <f t="shared" si="40"/>
        <v>96</v>
      </c>
      <c r="S1421" s="2396"/>
      <c r="T1421" s="2871"/>
    </row>
    <row r="1422" spans="9:22" ht="13.5">
      <c r="I1422" s="2967" t="s">
        <v>5217</v>
      </c>
      <c r="J1422" s="2828" t="s">
        <v>5218</v>
      </c>
      <c r="K1422" s="2825"/>
      <c r="L1422" s="2844">
        <v>0</v>
      </c>
      <c r="M1422" s="2968"/>
      <c r="N1422" s="2844">
        <f>+M1422*3</f>
        <v>0</v>
      </c>
      <c r="O1422" s="2968">
        <v>26</v>
      </c>
      <c r="P1422" s="2848">
        <f>IF(O1422&gt;25,150,(O1422)*6)</f>
        <v>150</v>
      </c>
      <c r="Q1422" s="2850"/>
      <c r="R1422" s="2852">
        <f t="shared" si="40"/>
        <v>150</v>
      </c>
      <c r="S1422" s="2396"/>
      <c r="T1422" s="2871"/>
    </row>
    <row r="1423" spans="9:22" ht="13.5">
      <c r="I1423" s="2967" t="s">
        <v>416</v>
      </c>
      <c r="J1423" s="2828" t="s">
        <v>5219</v>
      </c>
      <c r="K1423" s="2834"/>
      <c r="L1423" s="2844"/>
      <c r="M1423" s="2968"/>
      <c r="N1423" s="2844"/>
      <c r="O1423" s="2968">
        <v>11</v>
      </c>
      <c r="P1423" s="2848">
        <f t="shared" ref="P1423:P1437" si="41">IF(O1423&gt;25,150,(O1423)*6)</f>
        <v>66</v>
      </c>
      <c r="Q1423" s="2850"/>
      <c r="R1423" s="2852">
        <f t="shared" si="40"/>
        <v>66</v>
      </c>
      <c r="S1423" s="2396"/>
      <c r="T1423" s="2871"/>
    </row>
    <row r="1424" spans="9:22" ht="13.5">
      <c r="I1424" s="2967" t="s">
        <v>5193</v>
      </c>
      <c r="J1424" s="2828" t="s">
        <v>5224</v>
      </c>
      <c r="K1424" s="2834"/>
      <c r="L1424" s="2844"/>
      <c r="M1424" s="2968"/>
      <c r="N1424" s="2844"/>
      <c r="O1424" s="2968">
        <v>28</v>
      </c>
      <c r="P1424" s="2848">
        <f t="shared" si="41"/>
        <v>150</v>
      </c>
      <c r="Q1424" s="2850"/>
      <c r="R1424" s="2852">
        <f t="shared" si="40"/>
        <v>150</v>
      </c>
      <c r="S1424" s="2396"/>
      <c r="T1424" s="2871"/>
    </row>
    <row r="1425" spans="9:22" ht="13.5">
      <c r="I1425" s="2832" t="s">
        <v>5128</v>
      </c>
      <c r="J1425" s="2833" t="s">
        <v>5220</v>
      </c>
      <c r="K1425" s="2892"/>
      <c r="L1425" s="2893">
        <v>0</v>
      </c>
      <c r="M1425" s="2894"/>
      <c r="N1425" s="2893">
        <v>0</v>
      </c>
      <c r="O1425" s="2905">
        <v>44</v>
      </c>
      <c r="P1425" s="2906">
        <f t="shared" si="41"/>
        <v>150</v>
      </c>
      <c r="Q1425" s="2907">
        <v>-32.413793103448299</v>
      </c>
      <c r="R1425" s="2898">
        <f t="shared" si="40"/>
        <v>117.5862068965517</v>
      </c>
      <c r="S1425" s="2396"/>
      <c r="T1425" s="2871">
        <v>860</v>
      </c>
      <c r="U1425">
        <v>111.8</v>
      </c>
      <c r="V1425">
        <v>748.2</v>
      </c>
    </row>
    <row r="1426" spans="9:22" ht="13.5">
      <c r="I1426" s="2967" t="s">
        <v>5118</v>
      </c>
      <c r="J1426" s="2830" t="s">
        <v>5319</v>
      </c>
      <c r="K1426" s="2825"/>
      <c r="L1426" s="2844">
        <f>+K1426*3</f>
        <v>0</v>
      </c>
      <c r="M1426" s="2826"/>
      <c r="N1426" s="2844">
        <f>+M1426*3</f>
        <v>0</v>
      </c>
      <c r="O1426" s="2968">
        <v>18</v>
      </c>
      <c r="P1426" s="2848">
        <f t="shared" si="41"/>
        <v>108</v>
      </c>
      <c r="Q1426" s="2849"/>
      <c r="R1426" s="2852">
        <f t="shared" si="40"/>
        <v>108</v>
      </c>
      <c r="S1426" s="2396"/>
      <c r="T1426" s="2871">
        <f>+U1426+V1426</f>
        <v>827.58620689655174</v>
      </c>
      <c r="U1426">
        <f>+U1425*V1426/V1425</f>
        <v>107.58620689655172</v>
      </c>
      <c r="V1426">
        <v>720</v>
      </c>
    </row>
    <row r="1427" spans="9:22" ht="13.5">
      <c r="I1427" s="2832" t="s">
        <v>5222</v>
      </c>
      <c r="J1427" s="2833" t="s">
        <v>5223</v>
      </c>
      <c r="K1427" s="2904"/>
      <c r="L1427" s="2893"/>
      <c r="M1427" s="2905"/>
      <c r="N1427" s="2893"/>
      <c r="O1427" s="2905">
        <v>42</v>
      </c>
      <c r="P1427" s="2906">
        <f t="shared" si="41"/>
        <v>150</v>
      </c>
      <c r="Q1427" s="2907">
        <v>-0.41</v>
      </c>
      <c r="R1427" s="2898">
        <f t="shared" si="40"/>
        <v>149.59</v>
      </c>
      <c r="S1427" s="2396"/>
      <c r="T1427" s="2930">
        <f>+T1425-T1426</f>
        <v>32.413793103448256</v>
      </c>
    </row>
    <row r="1428" spans="9:22" ht="13.5">
      <c r="I1428" s="2967" t="s">
        <v>5252</v>
      </c>
      <c r="J1428" s="2828" t="s">
        <v>5253</v>
      </c>
      <c r="K1428" s="2825"/>
      <c r="L1428" s="2844">
        <f>+K1428*3</f>
        <v>0</v>
      </c>
      <c r="M1428" s="2826"/>
      <c r="N1428" s="2844">
        <f>+M1428*3</f>
        <v>0</v>
      </c>
      <c r="O1428" s="2968"/>
      <c r="P1428" s="2848">
        <f t="shared" si="41"/>
        <v>0</v>
      </c>
      <c r="Q1428" s="2850"/>
      <c r="R1428" s="2852">
        <f t="shared" si="40"/>
        <v>0</v>
      </c>
      <c r="S1428" s="2396"/>
      <c r="T1428" s="2871">
        <v>150</v>
      </c>
      <c r="U1428" s="2983">
        <f>+T1428-T1427</f>
        <v>117.58620689655174</v>
      </c>
    </row>
    <row r="1429" spans="9:22" ht="13.5">
      <c r="I1429" s="2967" t="s">
        <v>799</v>
      </c>
      <c r="J1429" s="2828" t="s">
        <v>5225</v>
      </c>
      <c r="K1429" s="2834"/>
      <c r="L1429" s="2844"/>
      <c r="M1429" s="2968"/>
      <c r="N1429" s="2844"/>
      <c r="O1429" s="2968"/>
      <c r="P1429" s="2848">
        <f t="shared" si="41"/>
        <v>0</v>
      </c>
      <c r="Q1429" s="2850"/>
      <c r="R1429" s="2852">
        <f t="shared" si="40"/>
        <v>0</v>
      </c>
      <c r="S1429" s="2396"/>
      <c r="T1429" s="2871"/>
    </row>
    <row r="1430" spans="9:22" ht="13.5">
      <c r="I1430" s="2967" t="s">
        <v>793</v>
      </c>
      <c r="J1430" s="2828" t="s">
        <v>5226</v>
      </c>
      <c r="K1430" s="2834"/>
      <c r="L1430" s="2844"/>
      <c r="M1430" s="2968"/>
      <c r="N1430" s="2844"/>
      <c r="O1430" s="2968"/>
      <c r="P1430" s="2848">
        <f t="shared" si="41"/>
        <v>0</v>
      </c>
      <c r="Q1430" s="2850"/>
      <c r="R1430" s="2852">
        <f t="shared" si="40"/>
        <v>0</v>
      </c>
      <c r="S1430" s="2396"/>
      <c r="T1430" s="2871">
        <v>828</v>
      </c>
      <c r="U1430">
        <v>107.64</v>
      </c>
      <c r="V1430">
        <v>720.36</v>
      </c>
    </row>
    <row r="1431" spans="9:22" ht="13.5">
      <c r="I1431" s="2967" t="s">
        <v>5227</v>
      </c>
      <c r="J1431" s="2828" t="s">
        <v>5228</v>
      </c>
      <c r="K1431" s="2834"/>
      <c r="L1431" s="2844"/>
      <c r="M1431" s="2968"/>
      <c r="N1431" s="2844"/>
      <c r="O1431" s="2968">
        <v>17</v>
      </c>
      <c r="P1431" s="2848">
        <f t="shared" si="41"/>
        <v>102</v>
      </c>
      <c r="Q1431" s="2850"/>
      <c r="R1431" s="2852">
        <f t="shared" si="40"/>
        <v>102</v>
      </c>
      <c r="S1431" s="2396"/>
      <c r="T1431" s="2871">
        <f>+U1431+V1431</f>
        <v>827.58620689655174</v>
      </c>
      <c r="U1431">
        <f>+U1430*V1431/V1430</f>
        <v>107.58620689655173</v>
      </c>
      <c r="V1431">
        <v>720</v>
      </c>
    </row>
    <row r="1432" spans="9:22" ht="13.5">
      <c r="I1432" s="2967" t="s">
        <v>5287</v>
      </c>
      <c r="J1432" s="2828" t="s">
        <v>5288</v>
      </c>
      <c r="K1432" s="2834"/>
      <c r="L1432" s="2844"/>
      <c r="M1432" s="2968"/>
      <c r="N1432" s="2844"/>
      <c r="O1432" s="2968"/>
      <c r="P1432" s="2848">
        <f t="shared" si="41"/>
        <v>0</v>
      </c>
      <c r="Q1432" s="2850"/>
      <c r="R1432" s="2852">
        <f t="shared" si="40"/>
        <v>0</v>
      </c>
      <c r="S1432" s="2396"/>
      <c r="T1432" s="2930">
        <f>+T1430-T1431</f>
        <v>0.41379310344825626</v>
      </c>
    </row>
    <row r="1433" spans="9:22" ht="13.5">
      <c r="I1433" s="2967" t="s">
        <v>5100</v>
      </c>
      <c r="J1433" s="2828" t="s">
        <v>5229</v>
      </c>
      <c r="K1433" s="2834"/>
      <c r="L1433" s="2844"/>
      <c r="M1433" s="2968"/>
      <c r="N1433" s="2844"/>
      <c r="O1433" s="2968"/>
      <c r="P1433" s="2848">
        <f t="shared" si="41"/>
        <v>0</v>
      </c>
      <c r="Q1433" s="2850"/>
      <c r="R1433" s="2852">
        <f t="shared" si="40"/>
        <v>0</v>
      </c>
      <c r="S1433" s="2396"/>
      <c r="T1433" s="2871">
        <v>150</v>
      </c>
      <c r="U1433" s="2983">
        <f>+T1433-T1432</f>
        <v>149.58620689655174</v>
      </c>
    </row>
    <row r="1434" spans="9:22" ht="13.5">
      <c r="I1434" s="2967" t="s">
        <v>5230</v>
      </c>
      <c r="J1434" s="2828" t="s">
        <v>5231</v>
      </c>
      <c r="K1434" s="2834"/>
      <c r="L1434" s="2844"/>
      <c r="M1434" s="2968"/>
      <c r="N1434" s="2844"/>
      <c r="O1434" s="2968">
        <v>13</v>
      </c>
      <c r="P1434" s="2848">
        <f t="shared" si="41"/>
        <v>78</v>
      </c>
      <c r="Q1434" s="2850"/>
      <c r="R1434" s="2852">
        <f t="shared" si="40"/>
        <v>78</v>
      </c>
      <c r="S1434" s="2396"/>
      <c r="T1434" s="2871"/>
    </row>
    <row r="1435" spans="9:22" ht="13.5">
      <c r="I1435" s="2974" t="s">
        <v>5120</v>
      </c>
      <c r="J1435" s="2975" t="s">
        <v>3321</v>
      </c>
      <c r="K1435" s="2976"/>
      <c r="L1435" s="2977">
        <f>+K1435*3</f>
        <v>0</v>
      </c>
      <c r="M1435" s="2978"/>
      <c r="N1435" s="2977">
        <f>+M1435*3</f>
        <v>0</v>
      </c>
      <c r="O1435" s="2979">
        <v>12</v>
      </c>
      <c r="P1435" s="2980">
        <f t="shared" si="41"/>
        <v>72</v>
      </c>
      <c r="Q1435" s="2981"/>
      <c r="R1435" s="2982">
        <f t="shared" si="40"/>
        <v>72</v>
      </c>
      <c r="S1435" s="2396"/>
      <c r="T1435" s="2973"/>
    </row>
    <row r="1436" spans="9:22" ht="13.5">
      <c r="I1436" s="2967" t="s">
        <v>5232</v>
      </c>
      <c r="J1436" s="2828" t="s">
        <v>5233</v>
      </c>
      <c r="K1436" s="2834"/>
      <c r="L1436" s="2844"/>
      <c r="M1436" s="2968"/>
      <c r="N1436" s="2844"/>
      <c r="O1436" s="2968">
        <v>48</v>
      </c>
      <c r="P1436" s="2848">
        <f t="shared" si="41"/>
        <v>150</v>
      </c>
      <c r="Q1436" s="2850"/>
      <c r="R1436" s="2852">
        <f t="shared" si="40"/>
        <v>150</v>
      </c>
      <c r="S1436" s="2396"/>
      <c r="T1436" s="2871"/>
    </row>
    <row r="1437" spans="9:22" ht="13.5">
      <c r="I1437" s="2967" t="s">
        <v>5194</v>
      </c>
      <c r="J1437" s="2828" t="s">
        <v>5251</v>
      </c>
      <c r="K1437" s="2825"/>
      <c r="L1437" s="2844">
        <v>0</v>
      </c>
      <c r="M1437" s="2826"/>
      <c r="N1437" s="2844">
        <v>0</v>
      </c>
      <c r="O1437" s="2968">
        <v>24</v>
      </c>
      <c r="P1437" s="2848">
        <f t="shared" si="41"/>
        <v>144</v>
      </c>
      <c r="Q1437" s="2850"/>
      <c r="R1437" s="2852">
        <f t="shared" si="40"/>
        <v>144</v>
      </c>
      <c r="S1437" s="2396"/>
      <c r="T1437" s="2871"/>
    </row>
    <row r="1438" spans="9:22" ht="13.5">
      <c r="I1438" s="2967" t="s">
        <v>5285</v>
      </c>
      <c r="J1438" s="2830" t="s">
        <v>5284</v>
      </c>
      <c r="K1438" s="2825"/>
      <c r="L1438" s="2844">
        <v>0</v>
      </c>
      <c r="M1438" s="2826"/>
      <c r="N1438" s="2844">
        <f>+M1438*3</f>
        <v>0</v>
      </c>
      <c r="O1438" s="2827"/>
      <c r="P1438" s="2847"/>
      <c r="Q1438" s="2849"/>
      <c r="R1438" s="2852">
        <f t="shared" si="40"/>
        <v>0</v>
      </c>
      <c r="S1438" s="2396"/>
      <c r="T1438" s="2871"/>
    </row>
    <row r="1439" spans="9:22" ht="13.5">
      <c r="I1439" s="2967" t="s">
        <v>5121</v>
      </c>
      <c r="J1439" s="2830" t="s">
        <v>5122</v>
      </c>
      <c r="K1439" s="2825"/>
      <c r="L1439" s="2844">
        <v>0</v>
      </c>
      <c r="M1439" s="2826"/>
      <c r="N1439" s="2844">
        <f>+M1439*3</f>
        <v>0</v>
      </c>
      <c r="O1439" s="2968">
        <v>29</v>
      </c>
      <c r="P1439" s="2848">
        <f t="shared" ref="P1439:P1446" si="42">IF(O1439&gt;25,150,(O1439)*6)</f>
        <v>150</v>
      </c>
      <c r="Q1439" s="2849"/>
      <c r="R1439" s="2852">
        <f t="shared" si="40"/>
        <v>150</v>
      </c>
      <c r="S1439" s="2396"/>
      <c r="T1439" s="2871"/>
    </row>
    <row r="1440" spans="9:22" ht="13.5">
      <c r="I1440" s="2967" t="s">
        <v>5235</v>
      </c>
      <c r="J1440" s="2830" t="s">
        <v>5320</v>
      </c>
      <c r="K1440" s="2825"/>
      <c r="L1440" s="2844">
        <v>0</v>
      </c>
      <c r="M1440" s="2826"/>
      <c r="N1440" s="2844">
        <f>+M1440*3</f>
        <v>0</v>
      </c>
      <c r="O1440" s="2968">
        <v>40</v>
      </c>
      <c r="P1440" s="2848">
        <f t="shared" si="42"/>
        <v>150</v>
      </c>
      <c r="Q1440" s="2849"/>
      <c r="R1440" s="2852">
        <f t="shared" si="40"/>
        <v>150</v>
      </c>
      <c r="S1440" s="2396"/>
      <c r="T1440" s="2871"/>
    </row>
    <row r="1441" spans="9:22" ht="13.5">
      <c r="I1441" s="2967" t="s">
        <v>5237</v>
      </c>
      <c r="J1441" s="2828" t="s">
        <v>5238</v>
      </c>
      <c r="K1441" s="2967"/>
      <c r="L1441" s="2844">
        <f>+K1441*3</f>
        <v>0</v>
      </c>
      <c r="M1441" s="2968"/>
      <c r="N1441" s="2844"/>
      <c r="O1441" s="2968">
        <v>39</v>
      </c>
      <c r="P1441" s="2848">
        <f t="shared" si="42"/>
        <v>150</v>
      </c>
      <c r="Q1441" s="2850"/>
      <c r="R1441" s="2852">
        <f t="shared" ref="R1441:R1447" si="43">+L1441+N1441+P1441+Q1441</f>
        <v>150</v>
      </c>
      <c r="S1441" s="2808"/>
      <c r="T1441" s="2871"/>
    </row>
    <row r="1442" spans="9:22" ht="13.5">
      <c r="I1442" s="2967" t="s">
        <v>5101</v>
      </c>
      <c r="J1442" s="2828" t="s">
        <v>5289</v>
      </c>
      <c r="K1442" s="2825"/>
      <c r="L1442" s="2844">
        <f>+K1442*3</f>
        <v>0</v>
      </c>
      <c r="M1442" s="2826"/>
      <c r="N1442" s="2844">
        <v>0</v>
      </c>
      <c r="O1442" s="2968">
        <v>9</v>
      </c>
      <c r="P1442" s="2848">
        <f t="shared" si="42"/>
        <v>54</v>
      </c>
      <c r="Q1442" s="2850"/>
      <c r="R1442" s="2852">
        <f t="shared" si="43"/>
        <v>54</v>
      </c>
      <c r="S1442" s="2396"/>
      <c r="T1442" s="2871"/>
    </row>
    <row r="1443" spans="9:22" ht="13.5">
      <c r="I1443" s="2967" t="s">
        <v>5102</v>
      </c>
      <c r="J1443" s="2830" t="s">
        <v>5098</v>
      </c>
      <c r="K1443" s="2825"/>
      <c r="L1443" s="2844">
        <f>+K1443*3</f>
        <v>0</v>
      </c>
      <c r="M1443" s="2826"/>
      <c r="N1443" s="2844">
        <v>0</v>
      </c>
      <c r="O1443" s="2968"/>
      <c r="P1443" s="2847">
        <f t="shared" si="42"/>
        <v>0</v>
      </c>
      <c r="Q1443" s="2849"/>
      <c r="R1443" s="2852">
        <f t="shared" si="43"/>
        <v>0</v>
      </c>
      <c r="S1443" s="2396"/>
      <c r="T1443" s="2871"/>
    </row>
    <row r="1444" spans="9:22" ht="13.5">
      <c r="I1444" s="2967" t="s">
        <v>5103</v>
      </c>
      <c r="J1444" s="2828" t="s">
        <v>5240</v>
      </c>
      <c r="K1444" s="2834"/>
      <c r="L1444" s="2844"/>
      <c r="M1444" s="2968"/>
      <c r="N1444" s="2844">
        <f>+M1444*3</f>
        <v>0</v>
      </c>
      <c r="O1444" s="2968">
        <v>18</v>
      </c>
      <c r="P1444" s="2848">
        <f t="shared" si="42"/>
        <v>108</v>
      </c>
      <c r="Q1444" s="2850"/>
      <c r="R1444" s="2852">
        <f t="shared" si="43"/>
        <v>108</v>
      </c>
      <c r="S1444" s="2808"/>
      <c r="T1444" s="2871"/>
    </row>
    <row r="1445" spans="9:22" ht="13.5">
      <c r="I1445" s="2967" t="s">
        <v>5324</v>
      </c>
      <c r="J1445" s="2828" t="s">
        <v>5325</v>
      </c>
      <c r="K1445" s="2834"/>
      <c r="L1445" s="2844"/>
      <c r="M1445" s="2968"/>
      <c r="N1445" s="2844"/>
      <c r="O1445" s="2968"/>
      <c r="P1445" s="2848">
        <f t="shared" si="42"/>
        <v>0</v>
      </c>
      <c r="Q1445" s="2850"/>
      <c r="R1445" s="2852">
        <f t="shared" si="43"/>
        <v>0</v>
      </c>
      <c r="S1445" s="2808"/>
      <c r="T1445" s="2871"/>
    </row>
    <row r="1446" spans="9:22" ht="13.5">
      <c r="I1446" s="2837" t="s">
        <v>5312</v>
      </c>
      <c r="J1446" s="2880" t="s">
        <v>5313</v>
      </c>
      <c r="K1446" s="2881"/>
      <c r="L1446" s="2882">
        <v>0</v>
      </c>
      <c r="M1446" s="2883"/>
      <c r="N1446" s="2882">
        <f>+M1446*3</f>
        <v>0</v>
      </c>
      <c r="O1446" s="2972">
        <v>27</v>
      </c>
      <c r="P1446" s="2885">
        <f t="shared" si="42"/>
        <v>150</v>
      </c>
      <c r="Q1446" s="2886"/>
      <c r="R1446" s="2853">
        <f t="shared" si="43"/>
        <v>150</v>
      </c>
      <c r="S1446" s="2396"/>
      <c r="T1446" s="2871"/>
    </row>
    <row r="1447" spans="9:22" ht="13.5">
      <c r="I1447" s="2839"/>
      <c r="J1447" s="2840"/>
      <c r="K1447" s="2963">
        <f t="shared" ref="K1447:Q1447" si="44">SUM(K1416:K1446)</f>
        <v>0</v>
      </c>
      <c r="L1447" s="2964">
        <f t="shared" si="44"/>
        <v>0</v>
      </c>
      <c r="M1447" s="2963">
        <f t="shared" si="44"/>
        <v>0</v>
      </c>
      <c r="N1447" s="2964">
        <f t="shared" si="44"/>
        <v>0</v>
      </c>
      <c r="O1447" s="2877">
        <f t="shared" si="44"/>
        <v>492</v>
      </c>
      <c r="P1447" s="2879">
        <f t="shared" si="44"/>
        <v>2328</v>
      </c>
      <c r="Q1447" s="2879">
        <f t="shared" si="44"/>
        <v>-32.823793103448295</v>
      </c>
      <c r="R1447" s="2878">
        <f t="shared" si="43"/>
        <v>2295.1762068965518</v>
      </c>
      <c r="S1447" s="96"/>
      <c r="T1447" s="2871"/>
    </row>
    <row r="1448" spans="9:22">
      <c r="T1448" s="2871"/>
    </row>
    <row r="1449" spans="9:22">
      <c r="N1449" s="1866"/>
      <c r="R1449" s="68">
        <f>+R1447-R1435</f>
        <v>2223.1762068965518</v>
      </c>
    </row>
    <row r="1451" spans="9:22" ht="13.5">
      <c r="I1451" s="3830" t="s">
        <v>5361</v>
      </c>
      <c r="J1451" s="3830"/>
      <c r="K1451" s="3830"/>
      <c r="L1451" s="3830"/>
      <c r="M1451" s="3830"/>
      <c r="N1451" s="3830"/>
      <c r="O1451" s="3830"/>
      <c r="P1451" s="3830"/>
      <c r="Q1451" s="3830"/>
      <c r="R1451" s="3830"/>
      <c r="T1451" s="2873"/>
    </row>
    <row r="1452" spans="9:22" ht="13.5">
      <c r="I1452" s="2821"/>
      <c r="J1452" s="2821"/>
      <c r="K1452" s="3831" t="s">
        <v>5286</v>
      </c>
      <c r="L1452" s="3832"/>
      <c r="M1452" s="3832"/>
      <c r="N1452" s="3833"/>
      <c r="O1452" s="3832" t="s">
        <v>4643</v>
      </c>
      <c r="P1452" s="3833"/>
      <c r="Q1452" s="2821"/>
      <c r="R1452" s="2821"/>
      <c r="T1452" s="2873"/>
    </row>
    <row r="1453" spans="9:22" ht="40.5">
      <c r="I1453" s="2841" t="s">
        <v>1600</v>
      </c>
      <c r="J1453" s="2841" t="s">
        <v>2067</v>
      </c>
      <c r="K1453" s="2953" t="s">
        <v>5131</v>
      </c>
      <c r="L1453" s="2953" t="s">
        <v>5342</v>
      </c>
      <c r="M1453" s="2822" t="s">
        <v>5131</v>
      </c>
      <c r="N1453" s="2822" t="s">
        <v>5341</v>
      </c>
      <c r="O1453" s="2822" t="s">
        <v>5131</v>
      </c>
      <c r="P1453" s="2822" t="s">
        <v>5349</v>
      </c>
      <c r="Q1453" s="2822" t="s">
        <v>5350</v>
      </c>
      <c r="R1453" s="2842" t="s">
        <v>5294</v>
      </c>
      <c r="T1453" s="2873"/>
    </row>
    <row r="1454" spans="9:22" ht="13.5">
      <c r="I1454" s="2823" t="s">
        <v>5281</v>
      </c>
      <c r="J1454" s="2824" t="s">
        <v>5280</v>
      </c>
      <c r="K1454" s="2825"/>
      <c r="L1454" s="2846">
        <f>+K1454*3</f>
        <v>0</v>
      </c>
      <c r="M1454" s="2826"/>
      <c r="N1454" s="2844">
        <v>0</v>
      </c>
      <c r="O1454" s="2827"/>
      <c r="P1454" s="2847"/>
      <c r="Q1454" s="2849"/>
      <c r="R1454" s="2851">
        <f>+L1454+N1454+P1454+Q1454</f>
        <v>0</v>
      </c>
      <c r="S1454" s="2396"/>
      <c r="T1454" s="2871"/>
    </row>
    <row r="1455" spans="9:22" ht="13.5">
      <c r="I1455" s="2997" t="s">
        <v>3050</v>
      </c>
      <c r="J1455" s="2830" t="s">
        <v>5095</v>
      </c>
      <c r="K1455" s="2825"/>
      <c r="L1455" s="2844">
        <f>+K1455*3</f>
        <v>0</v>
      </c>
      <c r="M1455" s="2826"/>
      <c r="N1455" s="2844">
        <v>0</v>
      </c>
      <c r="O1455" s="2827"/>
      <c r="P1455" s="2847"/>
      <c r="Q1455" s="2849"/>
      <c r="R1455" s="2852">
        <f t="shared" ref="R1455:R1478" si="45">+L1455+N1455+P1455+Q1455</f>
        <v>0</v>
      </c>
      <c r="S1455" s="2396"/>
    </row>
    <row r="1456" spans="9:22" ht="13.5">
      <c r="I1456" s="2997" t="s">
        <v>706</v>
      </c>
      <c r="J1456" s="2828" t="s">
        <v>5254</v>
      </c>
      <c r="K1456" s="2825"/>
      <c r="L1456" s="2844">
        <f>+K1456*3</f>
        <v>0</v>
      </c>
      <c r="M1456" s="2826"/>
      <c r="N1456" s="2844">
        <f>+M1456*3</f>
        <v>0</v>
      </c>
      <c r="O1456" s="2998">
        <v>17</v>
      </c>
      <c r="P1456" s="2848">
        <f>IF(O1456&gt;25,150,(O1456)*6)</f>
        <v>102</v>
      </c>
      <c r="Q1456" s="2850"/>
      <c r="R1456" s="2852">
        <f t="shared" si="45"/>
        <v>102</v>
      </c>
      <c r="S1456" s="2396"/>
      <c r="T1456" s="2871"/>
      <c r="U1456" s="3828">
        <v>43116</v>
      </c>
      <c r="V1456" s="3829"/>
    </row>
    <row r="1457" spans="9:22" ht="13.5">
      <c r="I1457" s="2997" t="s">
        <v>4269</v>
      </c>
      <c r="J1457" s="2828" t="s">
        <v>5255</v>
      </c>
      <c r="K1457" s="2834"/>
      <c r="L1457" s="2844"/>
      <c r="M1457" s="2998"/>
      <c r="N1457" s="2844"/>
      <c r="O1457" s="2998"/>
      <c r="P1457" s="2848">
        <f>IF(O1457&gt;25,150,(O1457)*6)</f>
        <v>0</v>
      </c>
      <c r="Q1457" s="2850"/>
      <c r="R1457" s="2852">
        <f t="shared" si="45"/>
        <v>0</v>
      </c>
      <c r="S1457" s="2396"/>
      <c r="T1457" s="2871"/>
    </row>
    <row r="1458" spans="9:22" ht="13.5">
      <c r="I1458" s="2997" t="s">
        <v>290</v>
      </c>
      <c r="J1458" s="2830" t="s">
        <v>464</v>
      </c>
      <c r="K1458" s="2825"/>
      <c r="L1458" s="2844">
        <f>+K1458*5</f>
        <v>0</v>
      </c>
      <c r="M1458" s="2826"/>
      <c r="N1458" s="2844">
        <f>+M1458*5</f>
        <v>0</v>
      </c>
      <c r="O1458" s="2827"/>
      <c r="P1458" s="2847"/>
      <c r="Q1458" s="2849"/>
      <c r="R1458" s="2852">
        <f t="shared" si="45"/>
        <v>0</v>
      </c>
      <c r="S1458" s="2396"/>
      <c r="T1458" s="2871"/>
    </row>
    <row r="1459" spans="9:22" ht="13.5">
      <c r="I1459" s="2997" t="s">
        <v>646</v>
      </c>
      <c r="J1459" s="2828" t="s">
        <v>5318</v>
      </c>
      <c r="K1459" s="2825"/>
      <c r="L1459" s="2844">
        <f>+K1459*3</f>
        <v>0</v>
      </c>
      <c r="M1459" s="2998"/>
      <c r="N1459" s="2844">
        <f>+M1459*3</f>
        <v>0</v>
      </c>
      <c r="O1459" s="2998">
        <v>30</v>
      </c>
      <c r="P1459" s="2848">
        <f>IF(O1459&gt;25,150,(O1459)*6)</f>
        <v>150</v>
      </c>
      <c r="Q1459" s="2850"/>
      <c r="R1459" s="2852">
        <f t="shared" si="45"/>
        <v>150</v>
      </c>
      <c r="S1459" s="2396"/>
      <c r="T1459" s="2871"/>
    </row>
    <row r="1460" spans="9:22" ht="13.5">
      <c r="I1460" s="2997" t="s">
        <v>5217</v>
      </c>
      <c r="J1460" s="2828" t="s">
        <v>5218</v>
      </c>
      <c r="K1460" s="2825"/>
      <c r="L1460" s="2844">
        <v>0</v>
      </c>
      <c r="M1460" s="2998"/>
      <c r="N1460" s="2844">
        <f>+M1460*3</f>
        <v>0</v>
      </c>
      <c r="O1460" s="2998">
        <v>24</v>
      </c>
      <c r="P1460" s="2848">
        <f>IF(O1460&gt;25,150,(O1460)*6)</f>
        <v>144</v>
      </c>
      <c r="Q1460" s="2850"/>
      <c r="R1460" s="2852">
        <f t="shared" si="45"/>
        <v>144</v>
      </c>
      <c r="S1460" s="2396"/>
      <c r="T1460" s="2871"/>
    </row>
    <row r="1461" spans="9:22" ht="13.5">
      <c r="I1461" s="2997" t="s">
        <v>416</v>
      </c>
      <c r="J1461" s="2828" t="s">
        <v>5219</v>
      </c>
      <c r="K1461" s="2834"/>
      <c r="L1461" s="2844"/>
      <c r="M1461" s="2998"/>
      <c r="N1461" s="2844"/>
      <c r="O1461" s="2998"/>
      <c r="P1461" s="2848">
        <f t="shared" ref="P1461:P1475" si="46">IF(O1461&gt;25,150,(O1461)*6)</f>
        <v>0</v>
      </c>
      <c r="Q1461" s="2850"/>
      <c r="R1461" s="2852">
        <f t="shared" si="45"/>
        <v>0</v>
      </c>
      <c r="S1461" s="2396"/>
      <c r="T1461" s="2871"/>
    </row>
    <row r="1462" spans="9:22" ht="13.5">
      <c r="I1462" s="2997" t="s">
        <v>5193</v>
      </c>
      <c r="J1462" s="2828" t="s">
        <v>5224</v>
      </c>
      <c r="K1462" s="2834"/>
      <c r="L1462" s="2844"/>
      <c r="M1462" s="2998"/>
      <c r="N1462" s="2844"/>
      <c r="O1462" s="2998"/>
      <c r="P1462" s="2848">
        <f t="shared" si="46"/>
        <v>0</v>
      </c>
      <c r="Q1462" s="2850"/>
      <c r="R1462" s="2852">
        <f t="shared" si="45"/>
        <v>0</v>
      </c>
      <c r="S1462" s="2396"/>
      <c r="T1462" s="2871"/>
    </row>
    <row r="1463" spans="9:22" ht="13.5">
      <c r="I1463" s="2997" t="s">
        <v>5128</v>
      </c>
      <c r="J1463" s="2828" t="s">
        <v>5220</v>
      </c>
      <c r="K1463" s="2825"/>
      <c r="L1463" s="2844">
        <v>0</v>
      </c>
      <c r="M1463" s="2826"/>
      <c r="N1463" s="2844">
        <v>0</v>
      </c>
      <c r="O1463" s="2998">
        <v>20</v>
      </c>
      <c r="P1463" s="2848">
        <f t="shared" si="46"/>
        <v>120</v>
      </c>
      <c r="Q1463" s="2850"/>
      <c r="R1463" s="2852">
        <f t="shared" si="45"/>
        <v>120</v>
      </c>
      <c r="S1463" s="2396"/>
      <c r="T1463" s="2871">
        <v>860</v>
      </c>
      <c r="U1463">
        <v>111.8</v>
      </c>
      <c r="V1463">
        <v>748.2</v>
      </c>
    </row>
    <row r="1464" spans="9:22" ht="13.5">
      <c r="I1464" s="2997" t="s">
        <v>5118</v>
      </c>
      <c r="J1464" s="2830" t="s">
        <v>5319</v>
      </c>
      <c r="K1464" s="2825"/>
      <c r="L1464" s="2844">
        <f>+K1464*3</f>
        <v>0</v>
      </c>
      <c r="M1464" s="2826"/>
      <c r="N1464" s="2844">
        <f>+M1464*3</f>
        <v>0</v>
      </c>
      <c r="O1464" s="2998">
        <v>18</v>
      </c>
      <c r="P1464" s="2848">
        <f t="shared" si="46"/>
        <v>108</v>
      </c>
      <c r="Q1464" s="2849"/>
      <c r="R1464" s="2852">
        <f t="shared" si="45"/>
        <v>108</v>
      </c>
      <c r="S1464" s="2396"/>
      <c r="T1464" s="2871">
        <f>+U1464+V1464</f>
        <v>827.58620689655174</v>
      </c>
      <c r="U1464">
        <f>+U1463*V1464/V1463</f>
        <v>107.58620689655172</v>
      </c>
      <c r="V1464">
        <v>720</v>
      </c>
    </row>
    <row r="1465" spans="9:22" ht="13.5">
      <c r="I1465" s="2997" t="s">
        <v>5222</v>
      </c>
      <c r="J1465" s="2828" t="s">
        <v>5223</v>
      </c>
      <c r="K1465" s="2834"/>
      <c r="L1465" s="2844"/>
      <c r="M1465" s="2998"/>
      <c r="N1465" s="2844"/>
      <c r="O1465" s="2998">
        <v>34</v>
      </c>
      <c r="P1465" s="2848">
        <f t="shared" si="46"/>
        <v>150</v>
      </c>
      <c r="Q1465" s="2850"/>
      <c r="R1465" s="2852">
        <f t="shared" si="45"/>
        <v>150</v>
      </c>
      <c r="S1465" s="2396"/>
      <c r="T1465" s="2930">
        <f>+T1463-T1464</f>
        <v>32.413793103448256</v>
      </c>
    </row>
    <row r="1466" spans="9:22" ht="13.5">
      <c r="I1466" s="2997" t="s">
        <v>5252</v>
      </c>
      <c r="J1466" s="2828" t="s">
        <v>5253</v>
      </c>
      <c r="K1466" s="2825"/>
      <c r="L1466" s="2844">
        <f>+K1466*3</f>
        <v>0</v>
      </c>
      <c r="M1466" s="2826"/>
      <c r="N1466" s="2844">
        <f>+M1466*3</f>
        <v>0</v>
      </c>
      <c r="O1466" s="2998"/>
      <c r="P1466" s="2848">
        <f t="shared" si="46"/>
        <v>0</v>
      </c>
      <c r="Q1466" s="2850"/>
      <c r="R1466" s="2852">
        <f t="shared" si="45"/>
        <v>0</v>
      </c>
      <c r="S1466" s="2396"/>
      <c r="T1466" s="2871">
        <v>150</v>
      </c>
      <c r="U1466" s="2983">
        <f>+T1466-T1465</f>
        <v>117.58620689655174</v>
      </c>
    </row>
    <row r="1467" spans="9:22" ht="13.5">
      <c r="I1467" s="2997" t="s">
        <v>799</v>
      </c>
      <c r="J1467" s="2828" t="s">
        <v>5225</v>
      </c>
      <c r="K1467" s="2834"/>
      <c r="L1467" s="2844"/>
      <c r="M1467" s="2998"/>
      <c r="N1467" s="2844"/>
      <c r="O1467" s="2998"/>
      <c r="P1467" s="2848">
        <f t="shared" si="46"/>
        <v>0</v>
      </c>
      <c r="Q1467" s="2850"/>
      <c r="R1467" s="2852">
        <f t="shared" si="45"/>
        <v>0</v>
      </c>
      <c r="S1467" s="2396"/>
      <c r="T1467" s="2871"/>
    </row>
    <row r="1468" spans="9:22" ht="13.5">
      <c r="I1468" s="2997" t="s">
        <v>793</v>
      </c>
      <c r="J1468" s="2828" t="s">
        <v>5226</v>
      </c>
      <c r="K1468" s="2834"/>
      <c r="L1468" s="2844"/>
      <c r="M1468" s="2998"/>
      <c r="N1468" s="2844"/>
      <c r="O1468" s="2998">
        <v>24</v>
      </c>
      <c r="P1468" s="2848">
        <f t="shared" si="46"/>
        <v>144</v>
      </c>
      <c r="Q1468" s="2850"/>
      <c r="R1468" s="2852">
        <f t="shared" si="45"/>
        <v>144</v>
      </c>
      <c r="S1468" s="2396"/>
      <c r="T1468" s="2871">
        <v>828</v>
      </c>
      <c r="U1468">
        <v>107.64</v>
      </c>
      <c r="V1468">
        <v>720.36</v>
      </c>
    </row>
    <row r="1469" spans="9:22" ht="13.5">
      <c r="I1469" s="2997" t="s">
        <v>5227</v>
      </c>
      <c r="J1469" s="2828" t="s">
        <v>5228</v>
      </c>
      <c r="K1469" s="2834"/>
      <c r="L1469" s="2844"/>
      <c r="M1469" s="2998"/>
      <c r="N1469" s="2844"/>
      <c r="O1469" s="2998">
        <v>15</v>
      </c>
      <c r="P1469" s="2848">
        <f t="shared" si="46"/>
        <v>90</v>
      </c>
      <c r="Q1469" s="2850"/>
      <c r="R1469" s="2852">
        <f t="shared" si="45"/>
        <v>90</v>
      </c>
      <c r="S1469" s="2396"/>
      <c r="T1469" s="2871">
        <f>+U1469+V1469</f>
        <v>827.58620689655174</v>
      </c>
      <c r="U1469">
        <f>+U1468*V1469/V1468</f>
        <v>107.58620689655173</v>
      </c>
      <c r="V1469">
        <v>720</v>
      </c>
    </row>
    <row r="1470" spans="9:22" ht="13.5">
      <c r="I1470" s="2997" t="s">
        <v>5287</v>
      </c>
      <c r="J1470" s="2828" t="s">
        <v>5288</v>
      </c>
      <c r="K1470" s="2834"/>
      <c r="L1470" s="2844"/>
      <c r="M1470" s="2998"/>
      <c r="N1470" s="2844"/>
      <c r="O1470" s="2998"/>
      <c r="P1470" s="2848">
        <f t="shared" si="46"/>
        <v>0</v>
      </c>
      <c r="Q1470" s="2850"/>
      <c r="R1470" s="2852">
        <f t="shared" si="45"/>
        <v>0</v>
      </c>
      <c r="S1470" s="2396"/>
      <c r="T1470" s="2930">
        <f>+T1468-T1469</f>
        <v>0.41379310344825626</v>
      </c>
    </row>
    <row r="1471" spans="9:22" ht="13.5">
      <c r="I1471" s="2997" t="s">
        <v>5100</v>
      </c>
      <c r="J1471" s="2828" t="s">
        <v>5229</v>
      </c>
      <c r="K1471" s="2834"/>
      <c r="L1471" s="2844"/>
      <c r="M1471" s="2998"/>
      <c r="N1471" s="2844"/>
      <c r="O1471" s="2998">
        <v>17</v>
      </c>
      <c r="P1471" s="2848">
        <f t="shared" si="46"/>
        <v>102</v>
      </c>
      <c r="Q1471" s="2850"/>
      <c r="R1471" s="2852">
        <f t="shared" si="45"/>
        <v>102</v>
      </c>
      <c r="S1471" s="2396"/>
      <c r="T1471" s="2871">
        <v>150</v>
      </c>
      <c r="U1471" s="2983">
        <f>+T1471-T1470</f>
        <v>149.58620689655174</v>
      </c>
    </row>
    <row r="1472" spans="9:22" ht="13.5">
      <c r="I1472" s="2997" t="s">
        <v>5230</v>
      </c>
      <c r="J1472" s="2828" t="s">
        <v>5231</v>
      </c>
      <c r="K1472" s="2834"/>
      <c r="L1472" s="2844"/>
      <c r="M1472" s="2998"/>
      <c r="N1472" s="2844"/>
      <c r="O1472" s="2998"/>
      <c r="P1472" s="2848">
        <f t="shared" si="46"/>
        <v>0</v>
      </c>
      <c r="Q1472" s="2850"/>
      <c r="R1472" s="2852">
        <f t="shared" si="45"/>
        <v>0</v>
      </c>
      <c r="S1472" s="2396"/>
      <c r="T1472" s="2871"/>
    </row>
    <row r="1473" spans="8:20" ht="13.5">
      <c r="H1473" s="3000" t="s">
        <v>5362</v>
      </c>
      <c r="I1473" s="2974" t="s">
        <v>5120</v>
      </c>
      <c r="J1473" s="2975" t="s">
        <v>3321</v>
      </c>
      <c r="K1473" s="2976"/>
      <c r="L1473" s="2977">
        <f>+K1473*3</f>
        <v>0</v>
      </c>
      <c r="M1473" s="2978"/>
      <c r="N1473" s="2977">
        <f>+M1473*3</f>
        <v>0</v>
      </c>
      <c r="O1473" s="2979"/>
      <c r="P1473" s="2980">
        <f t="shared" si="46"/>
        <v>0</v>
      </c>
      <c r="Q1473" s="2981"/>
      <c r="R1473" s="2982">
        <f t="shared" si="45"/>
        <v>0</v>
      </c>
      <c r="S1473" s="2396"/>
      <c r="T1473" s="2973"/>
    </row>
    <row r="1474" spans="8:20" ht="13.5">
      <c r="I1474" s="2997" t="s">
        <v>5232</v>
      </c>
      <c r="J1474" s="2828" t="s">
        <v>5233</v>
      </c>
      <c r="K1474" s="2834"/>
      <c r="L1474" s="2844"/>
      <c r="M1474" s="2998"/>
      <c r="N1474" s="2844"/>
      <c r="O1474" s="2998">
        <v>29</v>
      </c>
      <c r="P1474" s="2848">
        <f t="shared" si="46"/>
        <v>150</v>
      </c>
      <c r="Q1474" s="2850"/>
      <c r="R1474" s="2852">
        <f t="shared" si="45"/>
        <v>150</v>
      </c>
      <c r="S1474" s="2396"/>
      <c r="T1474" s="2871"/>
    </row>
    <row r="1475" spans="8:20" ht="13.5">
      <c r="I1475" s="2997" t="s">
        <v>5194</v>
      </c>
      <c r="J1475" s="2828" t="s">
        <v>5251</v>
      </c>
      <c r="K1475" s="2825"/>
      <c r="L1475" s="2844">
        <v>0</v>
      </c>
      <c r="M1475" s="2826"/>
      <c r="N1475" s="2844">
        <v>0</v>
      </c>
      <c r="O1475" s="2998">
        <v>2</v>
      </c>
      <c r="P1475" s="2848">
        <f t="shared" si="46"/>
        <v>12</v>
      </c>
      <c r="Q1475" s="2850"/>
      <c r="R1475" s="2852">
        <f t="shared" si="45"/>
        <v>12</v>
      </c>
      <c r="S1475" s="2396"/>
      <c r="T1475" s="2871"/>
    </row>
    <row r="1476" spans="8:20" ht="13.5">
      <c r="I1476" s="2997" t="s">
        <v>5285</v>
      </c>
      <c r="J1476" s="2830" t="s">
        <v>5284</v>
      </c>
      <c r="K1476" s="2825"/>
      <c r="L1476" s="2844">
        <v>0</v>
      </c>
      <c r="M1476" s="2826"/>
      <c r="N1476" s="2844">
        <f>+M1476*3</f>
        <v>0</v>
      </c>
      <c r="O1476" s="2827"/>
      <c r="P1476" s="2847"/>
      <c r="Q1476" s="2849"/>
      <c r="R1476" s="2852">
        <f t="shared" si="45"/>
        <v>0</v>
      </c>
      <c r="S1476" s="2396"/>
      <c r="T1476" s="2871"/>
    </row>
    <row r="1477" spans="8:20" ht="13.5">
      <c r="I1477" s="2997" t="s">
        <v>5121</v>
      </c>
      <c r="J1477" s="2830" t="s">
        <v>5122</v>
      </c>
      <c r="K1477" s="2825"/>
      <c r="L1477" s="2844">
        <v>0</v>
      </c>
      <c r="M1477" s="2826"/>
      <c r="N1477" s="2844">
        <f>+M1477*3</f>
        <v>0</v>
      </c>
      <c r="O1477" s="2998"/>
      <c r="P1477" s="2848">
        <f t="shared" ref="P1477:P1484" si="47">IF(O1477&gt;25,150,(O1477)*6)</f>
        <v>0</v>
      </c>
      <c r="Q1477" s="2849"/>
      <c r="R1477" s="2852">
        <f t="shared" si="45"/>
        <v>0</v>
      </c>
      <c r="S1477" s="2396"/>
      <c r="T1477" s="2871"/>
    </row>
    <row r="1478" spans="8:20" ht="13.5">
      <c r="I1478" s="2997" t="s">
        <v>5235</v>
      </c>
      <c r="J1478" s="2830" t="s">
        <v>5320</v>
      </c>
      <c r="K1478" s="2825"/>
      <c r="L1478" s="2844">
        <v>0</v>
      </c>
      <c r="M1478" s="2826"/>
      <c r="N1478" s="2844">
        <f>+M1478*3</f>
        <v>0</v>
      </c>
      <c r="O1478" s="2998">
        <v>22</v>
      </c>
      <c r="P1478" s="2848">
        <f t="shared" si="47"/>
        <v>132</v>
      </c>
      <c r="Q1478" s="2849"/>
      <c r="R1478" s="2852">
        <f t="shared" si="45"/>
        <v>132</v>
      </c>
      <c r="S1478" s="2396"/>
      <c r="T1478" s="2871"/>
    </row>
    <row r="1479" spans="8:20" ht="13.5">
      <c r="I1479" s="2997" t="s">
        <v>5237</v>
      </c>
      <c r="J1479" s="2828" t="s">
        <v>5238</v>
      </c>
      <c r="K1479" s="2997"/>
      <c r="L1479" s="2844">
        <f>+K1479*3</f>
        <v>0</v>
      </c>
      <c r="M1479" s="2998"/>
      <c r="N1479" s="2844"/>
      <c r="O1479" s="2998">
        <v>27</v>
      </c>
      <c r="P1479" s="2848">
        <f t="shared" si="47"/>
        <v>150</v>
      </c>
      <c r="Q1479" s="2850"/>
      <c r="R1479" s="2852">
        <f t="shared" ref="R1479:R1485" si="48">+L1479+N1479+P1479+Q1479</f>
        <v>150</v>
      </c>
      <c r="S1479" s="2808"/>
      <c r="T1479" s="2871"/>
    </row>
    <row r="1480" spans="8:20" ht="13.5">
      <c r="I1480" s="2997" t="s">
        <v>5101</v>
      </c>
      <c r="J1480" s="2828" t="s">
        <v>5289</v>
      </c>
      <c r="K1480" s="2825"/>
      <c r="L1480" s="2844">
        <f>+K1480*3</f>
        <v>0</v>
      </c>
      <c r="M1480" s="2826"/>
      <c r="N1480" s="2844">
        <v>0</v>
      </c>
      <c r="O1480" s="2998">
        <v>17</v>
      </c>
      <c r="P1480" s="2848">
        <f t="shared" si="47"/>
        <v>102</v>
      </c>
      <c r="Q1480" s="2850"/>
      <c r="R1480" s="2852">
        <f t="shared" si="48"/>
        <v>102</v>
      </c>
      <c r="S1480" s="2396"/>
      <c r="T1480" s="2871"/>
    </row>
    <row r="1481" spans="8:20" ht="13.5">
      <c r="I1481" s="2997" t="s">
        <v>5102</v>
      </c>
      <c r="J1481" s="2830" t="s">
        <v>5098</v>
      </c>
      <c r="K1481" s="2825"/>
      <c r="L1481" s="2844">
        <f>+K1481*3</f>
        <v>0</v>
      </c>
      <c r="M1481" s="2826"/>
      <c r="N1481" s="2844">
        <v>0</v>
      </c>
      <c r="O1481" s="2998"/>
      <c r="P1481" s="2847">
        <f t="shared" si="47"/>
        <v>0</v>
      </c>
      <c r="Q1481" s="2849"/>
      <c r="R1481" s="2852">
        <f t="shared" si="48"/>
        <v>0</v>
      </c>
      <c r="S1481" s="2396"/>
      <c r="T1481" s="2871"/>
    </row>
    <row r="1482" spans="8:20" ht="13.5">
      <c r="I1482" s="2997" t="s">
        <v>5103</v>
      </c>
      <c r="J1482" s="2828" t="s">
        <v>5240</v>
      </c>
      <c r="K1482" s="2834"/>
      <c r="L1482" s="2844"/>
      <c r="M1482" s="2998"/>
      <c r="N1482" s="2844">
        <f>+M1482*3</f>
        <v>0</v>
      </c>
      <c r="O1482" s="2998">
        <v>19</v>
      </c>
      <c r="P1482" s="2848">
        <f t="shared" si="47"/>
        <v>114</v>
      </c>
      <c r="Q1482" s="2850"/>
      <c r="R1482" s="2852">
        <f t="shared" si="48"/>
        <v>114</v>
      </c>
      <c r="S1482" s="2808"/>
      <c r="T1482" s="2871"/>
    </row>
    <row r="1483" spans="8:20" ht="13.5">
      <c r="I1483" s="2997" t="s">
        <v>5324</v>
      </c>
      <c r="J1483" s="2828" t="s">
        <v>5325</v>
      </c>
      <c r="K1483" s="2834"/>
      <c r="L1483" s="2844"/>
      <c r="M1483" s="2998"/>
      <c r="N1483" s="2844"/>
      <c r="O1483" s="2998">
        <v>19</v>
      </c>
      <c r="P1483" s="2848">
        <f t="shared" si="47"/>
        <v>114</v>
      </c>
      <c r="Q1483" s="2850"/>
      <c r="R1483" s="2852">
        <f t="shared" si="48"/>
        <v>114</v>
      </c>
      <c r="S1483" s="2808"/>
      <c r="T1483" s="2871"/>
    </row>
    <row r="1484" spans="8:20" ht="13.5">
      <c r="I1484" s="2837" t="s">
        <v>5312</v>
      </c>
      <c r="J1484" s="2880" t="s">
        <v>5313</v>
      </c>
      <c r="K1484" s="2881"/>
      <c r="L1484" s="2882">
        <v>0</v>
      </c>
      <c r="M1484" s="2883"/>
      <c r="N1484" s="2882">
        <f>+M1484*3</f>
        <v>0</v>
      </c>
      <c r="O1484" s="2972">
        <v>14</v>
      </c>
      <c r="P1484" s="2885">
        <f t="shared" si="47"/>
        <v>84</v>
      </c>
      <c r="Q1484" s="2886"/>
      <c r="R1484" s="2853">
        <f t="shared" si="48"/>
        <v>84</v>
      </c>
      <c r="S1484" s="2396"/>
      <c r="T1484" s="2871"/>
    </row>
    <row r="1485" spans="8:20" ht="13.5">
      <c r="I1485" s="2839"/>
      <c r="J1485" s="2840"/>
      <c r="K1485" s="2963">
        <f t="shared" ref="K1485:Q1485" si="49">SUM(K1454:K1484)</f>
        <v>0</v>
      </c>
      <c r="L1485" s="2964">
        <f t="shared" si="49"/>
        <v>0</v>
      </c>
      <c r="M1485" s="2963">
        <f t="shared" si="49"/>
        <v>0</v>
      </c>
      <c r="N1485" s="2964">
        <f t="shared" si="49"/>
        <v>0</v>
      </c>
      <c r="O1485" s="2877">
        <f t="shared" si="49"/>
        <v>348</v>
      </c>
      <c r="P1485" s="2879">
        <f t="shared" si="49"/>
        <v>1968</v>
      </c>
      <c r="Q1485" s="2879">
        <f t="shared" si="49"/>
        <v>0</v>
      </c>
      <c r="R1485" s="2878">
        <f t="shared" si="48"/>
        <v>1968</v>
      </c>
      <c r="S1485" s="96"/>
      <c r="T1485" s="2871"/>
    </row>
    <row r="1486" spans="8:20">
      <c r="T1486" s="2871"/>
    </row>
    <row r="1487" spans="8:20">
      <c r="N1487" s="1866"/>
      <c r="R1487" s="68">
        <f>+R1485-R1473</f>
        <v>1968</v>
      </c>
    </row>
    <row r="1489" spans="9:22" ht="13.5">
      <c r="I1489" s="3830" t="s">
        <v>5363</v>
      </c>
      <c r="J1489" s="3830"/>
      <c r="K1489" s="3830"/>
      <c r="L1489" s="3830"/>
      <c r="M1489" s="3830"/>
      <c r="N1489" s="3830"/>
      <c r="O1489" s="3830"/>
      <c r="P1489" s="3830"/>
      <c r="Q1489" s="3830"/>
      <c r="R1489" s="3830"/>
      <c r="T1489" s="2873"/>
    </row>
    <row r="1490" spans="9:22" ht="13.5">
      <c r="I1490" s="2821"/>
      <c r="J1490" s="2821"/>
      <c r="K1490" s="3831" t="s">
        <v>5286</v>
      </c>
      <c r="L1490" s="3832"/>
      <c r="M1490" s="3832"/>
      <c r="N1490" s="3833"/>
      <c r="O1490" s="3832" t="s">
        <v>4643</v>
      </c>
      <c r="P1490" s="3833"/>
      <c r="Q1490" s="2821"/>
      <c r="R1490" s="2821"/>
      <c r="T1490" s="2873"/>
    </row>
    <row r="1491" spans="9:22" ht="40.5">
      <c r="I1491" s="2841" t="s">
        <v>1600</v>
      </c>
      <c r="J1491" s="2841" t="s">
        <v>2067</v>
      </c>
      <c r="K1491" s="2953" t="s">
        <v>5131</v>
      </c>
      <c r="L1491" s="2953" t="s">
        <v>5342</v>
      </c>
      <c r="M1491" s="2822" t="s">
        <v>5131</v>
      </c>
      <c r="N1491" s="2822" t="s">
        <v>5341</v>
      </c>
      <c r="O1491" s="2822" t="s">
        <v>5131</v>
      </c>
      <c r="P1491" s="2822" t="s">
        <v>5364</v>
      </c>
      <c r="Q1491" s="2822" t="s">
        <v>5350</v>
      </c>
      <c r="R1491" s="2842" t="s">
        <v>5294</v>
      </c>
      <c r="T1491" s="2873"/>
    </row>
    <row r="1492" spans="9:22" ht="13.5">
      <c r="I1492" s="2823" t="s">
        <v>5281</v>
      </c>
      <c r="J1492" s="2824" t="s">
        <v>5280</v>
      </c>
      <c r="K1492" s="2825"/>
      <c r="L1492" s="2846">
        <f>+K1492*3</f>
        <v>0</v>
      </c>
      <c r="M1492" s="2826"/>
      <c r="N1492" s="2844">
        <v>0</v>
      </c>
      <c r="O1492" s="2827"/>
      <c r="P1492" s="2847"/>
      <c r="Q1492" s="2849"/>
      <c r="R1492" s="2851">
        <f>+L1492+N1492+P1492+Q1492</f>
        <v>0</v>
      </c>
      <c r="S1492" s="2396"/>
      <c r="T1492" s="2871"/>
    </row>
    <row r="1493" spans="9:22" ht="13.5">
      <c r="I1493" s="3001" t="s">
        <v>3050</v>
      </c>
      <c r="J1493" s="2830" t="s">
        <v>5095</v>
      </c>
      <c r="K1493" s="2825"/>
      <c r="L1493" s="2844">
        <f>+K1493*3</f>
        <v>0</v>
      </c>
      <c r="M1493" s="2826"/>
      <c r="N1493" s="2844">
        <v>0</v>
      </c>
      <c r="O1493" s="2827"/>
      <c r="P1493" s="2847"/>
      <c r="Q1493" s="2849"/>
      <c r="R1493" s="2852">
        <f t="shared" ref="R1493:R1516" si="50">+L1493+N1493+P1493+Q1493</f>
        <v>0</v>
      </c>
      <c r="S1493" s="2396"/>
    </row>
    <row r="1494" spans="9:22" ht="13.5">
      <c r="I1494" s="3001" t="s">
        <v>706</v>
      </c>
      <c r="J1494" s="2828" t="s">
        <v>5254</v>
      </c>
      <c r="K1494" s="2825"/>
      <c r="L1494" s="2844">
        <f>+K1494*3</f>
        <v>0</v>
      </c>
      <c r="M1494" s="2826"/>
      <c r="N1494" s="2844">
        <f>+M1494*3</f>
        <v>0</v>
      </c>
      <c r="O1494" s="3002"/>
      <c r="P1494" s="2848">
        <f>IF(O1494&gt;25,150,(O1494)*6)</f>
        <v>0</v>
      </c>
      <c r="Q1494" s="2850"/>
      <c r="R1494" s="2852">
        <f t="shared" si="50"/>
        <v>0</v>
      </c>
      <c r="S1494" s="2396"/>
      <c r="T1494" s="2871"/>
      <c r="U1494" s="3828">
        <v>43124</v>
      </c>
      <c r="V1494" s="3829"/>
    </row>
    <row r="1495" spans="9:22" ht="13.5">
      <c r="I1495" s="3001" t="s">
        <v>4269</v>
      </c>
      <c r="J1495" s="2828" t="s">
        <v>5255</v>
      </c>
      <c r="K1495" s="2834"/>
      <c r="L1495" s="2844"/>
      <c r="M1495" s="3002"/>
      <c r="N1495" s="2844"/>
      <c r="O1495" s="3002"/>
      <c r="P1495" s="2848">
        <f>IF(O1495&gt;25,150,(O1495)*6)</f>
        <v>0</v>
      </c>
      <c r="Q1495" s="2850"/>
      <c r="R1495" s="2852">
        <f t="shared" si="50"/>
        <v>0</v>
      </c>
      <c r="S1495" s="2396"/>
      <c r="T1495" s="2871"/>
    </row>
    <row r="1496" spans="9:22" ht="13.5">
      <c r="I1496" s="3001" t="s">
        <v>290</v>
      </c>
      <c r="J1496" s="2830" t="s">
        <v>464</v>
      </c>
      <c r="K1496" s="2825"/>
      <c r="L1496" s="2844">
        <f>+K1496*5</f>
        <v>0</v>
      </c>
      <c r="M1496" s="2826"/>
      <c r="N1496" s="2844">
        <f>+M1496*5</f>
        <v>0</v>
      </c>
      <c r="O1496" s="2827"/>
      <c r="P1496" s="2847"/>
      <c r="Q1496" s="2849"/>
      <c r="R1496" s="2852">
        <f t="shared" si="50"/>
        <v>0</v>
      </c>
      <c r="S1496" s="2396"/>
      <c r="T1496" s="2871"/>
    </row>
    <row r="1497" spans="9:22" ht="13.5">
      <c r="I1497" s="3001" t="s">
        <v>646</v>
      </c>
      <c r="J1497" s="2828" t="s">
        <v>5318</v>
      </c>
      <c r="K1497" s="2825"/>
      <c r="L1497" s="2844">
        <f>+K1497*3</f>
        <v>0</v>
      </c>
      <c r="M1497" s="3002"/>
      <c r="N1497" s="2844">
        <f>+M1497*3</f>
        <v>0</v>
      </c>
      <c r="O1497" s="3002">
        <v>1</v>
      </c>
      <c r="P1497" s="2848">
        <f>IF(O1497&gt;25,150,(O1497)*6)</f>
        <v>6</v>
      </c>
      <c r="Q1497" s="2850"/>
      <c r="R1497" s="2852">
        <f t="shared" si="50"/>
        <v>6</v>
      </c>
      <c r="S1497" s="2396"/>
      <c r="T1497" s="2871"/>
    </row>
    <row r="1498" spans="9:22" ht="13.5">
      <c r="I1498" s="3001" t="s">
        <v>5217</v>
      </c>
      <c r="J1498" s="2828" t="s">
        <v>5218</v>
      </c>
      <c r="K1498" s="2825"/>
      <c r="L1498" s="2844">
        <v>0</v>
      </c>
      <c r="M1498" s="3002"/>
      <c r="N1498" s="2844">
        <f>+M1498*3</f>
        <v>0</v>
      </c>
      <c r="O1498" s="3002">
        <v>10</v>
      </c>
      <c r="P1498" s="2848">
        <f>IF(O1498&gt;25,150,(O1498)*6)</f>
        <v>60</v>
      </c>
      <c r="Q1498" s="2850"/>
      <c r="R1498" s="2852">
        <f t="shared" si="50"/>
        <v>60</v>
      </c>
      <c r="S1498" s="2396"/>
      <c r="T1498" s="2871"/>
    </row>
    <row r="1499" spans="9:22" ht="13.5">
      <c r="I1499" s="3001" t="s">
        <v>416</v>
      </c>
      <c r="J1499" s="2828" t="s">
        <v>5219</v>
      </c>
      <c r="K1499" s="2834"/>
      <c r="L1499" s="2844"/>
      <c r="M1499" s="3002"/>
      <c r="N1499" s="2844"/>
      <c r="O1499" s="3002"/>
      <c r="P1499" s="2848">
        <f t="shared" ref="P1499:P1514" si="51">IF(O1499&gt;25,150,(O1499)*6)</f>
        <v>0</v>
      </c>
      <c r="Q1499" s="2850"/>
      <c r="R1499" s="2852">
        <f t="shared" si="50"/>
        <v>0</v>
      </c>
      <c r="S1499" s="2396"/>
      <c r="T1499" s="2871"/>
    </row>
    <row r="1500" spans="9:22" ht="13.5">
      <c r="I1500" s="3001" t="s">
        <v>5193</v>
      </c>
      <c r="J1500" s="2828" t="s">
        <v>5224</v>
      </c>
      <c r="K1500" s="2834"/>
      <c r="L1500" s="2844"/>
      <c r="M1500" s="3002"/>
      <c r="N1500" s="2844"/>
      <c r="O1500" s="3002"/>
      <c r="P1500" s="2848">
        <f t="shared" si="51"/>
        <v>0</v>
      </c>
      <c r="Q1500" s="2850"/>
      <c r="R1500" s="2852">
        <f t="shared" si="50"/>
        <v>0</v>
      </c>
      <c r="S1500" s="2396"/>
      <c r="T1500" s="2871"/>
    </row>
    <row r="1501" spans="9:22" ht="13.5">
      <c r="I1501" s="3001" t="s">
        <v>5128</v>
      </c>
      <c r="J1501" s="2828" t="s">
        <v>5220</v>
      </c>
      <c r="K1501" s="2825"/>
      <c r="L1501" s="2844">
        <v>0</v>
      </c>
      <c r="M1501" s="2826"/>
      <c r="N1501" s="2844">
        <v>0</v>
      </c>
      <c r="O1501" s="3002">
        <v>30</v>
      </c>
      <c r="P1501" s="2848">
        <f t="shared" si="51"/>
        <v>150</v>
      </c>
      <c r="Q1501" s="2850"/>
      <c r="R1501" s="2852">
        <f t="shared" si="50"/>
        <v>150</v>
      </c>
      <c r="S1501" s="2396"/>
      <c r="T1501" s="2871">
        <v>860</v>
      </c>
      <c r="U1501">
        <v>111.8</v>
      </c>
      <c r="V1501">
        <v>748.2</v>
      </c>
    </row>
    <row r="1502" spans="9:22" ht="13.5">
      <c r="I1502" s="3001" t="s">
        <v>5118</v>
      </c>
      <c r="J1502" s="2830" t="s">
        <v>5319</v>
      </c>
      <c r="K1502" s="2825"/>
      <c r="L1502" s="2844">
        <f>+K1502*3</f>
        <v>0</v>
      </c>
      <c r="M1502" s="2826"/>
      <c r="N1502" s="2844">
        <f>+M1502*3</f>
        <v>0</v>
      </c>
      <c r="O1502" s="3002"/>
      <c r="P1502" s="2848">
        <f t="shared" si="51"/>
        <v>0</v>
      </c>
      <c r="Q1502" s="2849"/>
      <c r="R1502" s="2852">
        <f t="shared" si="50"/>
        <v>0</v>
      </c>
      <c r="S1502" s="2396"/>
      <c r="T1502" s="2871">
        <f>+U1502+V1502</f>
        <v>827.58620689655174</v>
      </c>
      <c r="U1502">
        <f>+U1501*V1502/V1501</f>
        <v>107.58620689655172</v>
      </c>
      <c r="V1502">
        <v>720</v>
      </c>
    </row>
    <row r="1503" spans="9:22" ht="13.5">
      <c r="I1503" s="3001" t="s">
        <v>5222</v>
      </c>
      <c r="J1503" s="2828" t="s">
        <v>5223</v>
      </c>
      <c r="K1503" s="2834"/>
      <c r="L1503" s="2844"/>
      <c r="M1503" s="3002"/>
      <c r="N1503" s="2844"/>
      <c r="O1503" s="3002">
        <v>33</v>
      </c>
      <c r="P1503" s="2848">
        <f t="shared" si="51"/>
        <v>150</v>
      </c>
      <c r="Q1503" s="2850"/>
      <c r="R1503" s="2852">
        <f t="shared" si="50"/>
        <v>150</v>
      </c>
      <c r="S1503" s="2396"/>
      <c r="T1503" s="2930">
        <f>+T1501-T1502</f>
        <v>32.413793103448256</v>
      </c>
    </row>
    <row r="1504" spans="9:22" ht="13.5">
      <c r="I1504" s="3001" t="s">
        <v>5252</v>
      </c>
      <c r="J1504" s="2828" t="s">
        <v>5253</v>
      </c>
      <c r="K1504" s="2825"/>
      <c r="L1504" s="2844">
        <f>+K1504*3</f>
        <v>0</v>
      </c>
      <c r="M1504" s="2826"/>
      <c r="N1504" s="2844">
        <f>+M1504*3</f>
        <v>0</v>
      </c>
      <c r="O1504" s="3002"/>
      <c r="P1504" s="2848">
        <f t="shared" si="51"/>
        <v>0</v>
      </c>
      <c r="Q1504" s="2850"/>
      <c r="R1504" s="2852">
        <f t="shared" si="50"/>
        <v>0</v>
      </c>
      <c r="S1504" s="2396"/>
      <c r="T1504" s="2871">
        <v>150</v>
      </c>
      <c r="U1504" s="2983">
        <f>+T1504-T1503</f>
        <v>117.58620689655174</v>
      </c>
    </row>
    <row r="1505" spans="8:22" ht="13.5">
      <c r="I1505" s="3001" t="s">
        <v>799</v>
      </c>
      <c r="J1505" s="2828" t="s">
        <v>5225</v>
      </c>
      <c r="K1505" s="2834"/>
      <c r="L1505" s="2844"/>
      <c r="M1505" s="3002"/>
      <c r="N1505" s="2844"/>
      <c r="O1505" s="3002"/>
      <c r="P1505" s="2848">
        <f t="shared" si="51"/>
        <v>0</v>
      </c>
      <c r="Q1505" s="2850"/>
      <c r="R1505" s="2852">
        <f t="shared" si="50"/>
        <v>0</v>
      </c>
      <c r="S1505" s="2396"/>
      <c r="T1505" s="2871"/>
    </row>
    <row r="1506" spans="8:22" ht="13.5">
      <c r="I1506" s="3001" t="s">
        <v>793</v>
      </c>
      <c r="J1506" s="2828" t="s">
        <v>5226</v>
      </c>
      <c r="K1506" s="2834"/>
      <c r="L1506" s="2844"/>
      <c r="M1506" s="3002"/>
      <c r="N1506" s="2844"/>
      <c r="O1506" s="3002">
        <v>37</v>
      </c>
      <c r="P1506" s="2848">
        <f t="shared" si="51"/>
        <v>150</v>
      </c>
      <c r="Q1506" s="2850"/>
      <c r="R1506" s="2852">
        <f t="shared" si="50"/>
        <v>150</v>
      </c>
      <c r="S1506" s="2396"/>
      <c r="T1506" s="2871">
        <v>828</v>
      </c>
      <c r="U1506">
        <v>107.64</v>
      </c>
      <c r="V1506">
        <v>720.36</v>
      </c>
    </row>
    <row r="1507" spans="8:22" ht="13.5">
      <c r="I1507" s="3001" t="s">
        <v>5227</v>
      </c>
      <c r="J1507" s="2828" t="s">
        <v>5228</v>
      </c>
      <c r="K1507" s="2834"/>
      <c r="L1507" s="2844"/>
      <c r="M1507" s="3002"/>
      <c r="N1507" s="2844"/>
      <c r="O1507" s="3002">
        <v>24</v>
      </c>
      <c r="P1507" s="2848">
        <f t="shared" si="51"/>
        <v>144</v>
      </c>
      <c r="Q1507" s="2850"/>
      <c r="R1507" s="2852">
        <f t="shared" si="50"/>
        <v>144</v>
      </c>
      <c r="S1507" s="2396"/>
      <c r="T1507" s="2871">
        <f>+U1507+V1507</f>
        <v>827.58620689655174</v>
      </c>
      <c r="U1507">
        <f>+U1506*V1507/V1506</f>
        <v>107.58620689655173</v>
      </c>
      <c r="V1507">
        <v>720</v>
      </c>
    </row>
    <row r="1508" spans="8:22" ht="13.5">
      <c r="I1508" s="3001" t="s">
        <v>5287</v>
      </c>
      <c r="J1508" s="2828" t="s">
        <v>5288</v>
      </c>
      <c r="K1508" s="2834"/>
      <c r="L1508" s="2844"/>
      <c r="M1508" s="3002"/>
      <c r="N1508" s="2844"/>
      <c r="O1508" s="3002">
        <v>29</v>
      </c>
      <c r="P1508" s="2848">
        <f t="shared" si="51"/>
        <v>150</v>
      </c>
      <c r="Q1508" s="2850"/>
      <c r="R1508" s="2852">
        <f t="shared" si="50"/>
        <v>150</v>
      </c>
      <c r="S1508" s="2396"/>
      <c r="T1508" s="2930">
        <f>+T1506-T1507</f>
        <v>0.41379310344825626</v>
      </c>
    </row>
    <row r="1509" spans="8:22" ht="13.5">
      <c r="I1509" s="3001" t="s">
        <v>5100</v>
      </c>
      <c r="J1509" s="2828" t="s">
        <v>5229</v>
      </c>
      <c r="K1509" s="2834"/>
      <c r="L1509" s="2844"/>
      <c r="M1509" s="3002"/>
      <c r="N1509" s="2844"/>
      <c r="O1509" s="3002">
        <v>35</v>
      </c>
      <c r="P1509" s="2848">
        <f t="shared" si="51"/>
        <v>150</v>
      </c>
      <c r="Q1509" s="2850"/>
      <c r="R1509" s="2852">
        <f t="shared" si="50"/>
        <v>150</v>
      </c>
      <c r="S1509" s="2396"/>
      <c r="T1509" s="2871">
        <v>150</v>
      </c>
      <c r="U1509" s="2983">
        <f>+T1509-T1508</f>
        <v>149.58620689655174</v>
      </c>
    </row>
    <row r="1510" spans="8:22" ht="13.5">
      <c r="I1510" s="3001" t="s">
        <v>5230</v>
      </c>
      <c r="J1510" s="2828" t="s">
        <v>5231</v>
      </c>
      <c r="K1510" s="2834"/>
      <c r="L1510" s="2844"/>
      <c r="M1510" s="3002"/>
      <c r="N1510" s="2844"/>
      <c r="O1510" s="3002"/>
      <c r="P1510" s="2848">
        <f t="shared" si="51"/>
        <v>0</v>
      </c>
      <c r="Q1510" s="2850"/>
      <c r="R1510" s="2852">
        <f t="shared" si="50"/>
        <v>0</v>
      </c>
      <c r="S1510" s="2396"/>
      <c r="T1510" s="2871"/>
    </row>
    <row r="1511" spans="8:22" ht="13.5">
      <c r="H1511" s="3000" t="s">
        <v>5362</v>
      </c>
      <c r="I1511" s="2974" t="s">
        <v>5120</v>
      </c>
      <c r="J1511" s="2975" t="s">
        <v>3321</v>
      </c>
      <c r="K1511" s="2976"/>
      <c r="L1511" s="2977">
        <f>+K1511*3</f>
        <v>0</v>
      </c>
      <c r="M1511" s="2978"/>
      <c r="N1511" s="2977">
        <f>+M1511*3</f>
        <v>0</v>
      </c>
      <c r="O1511" s="2979"/>
      <c r="P1511" s="2980">
        <f t="shared" si="51"/>
        <v>0</v>
      </c>
      <c r="Q1511" s="2981"/>
      <c r="R1511" s="2982">
        <f t="shared" si="50"/>
        <v>0</v>
      </c>
      <c r="S1511" s="2396"/>
      <c r="T1511" s="2973"/>
    </row>
    <row r="1512" spans="8:22" ht="13.5">
      <c r="I1512" s="3001" t="s">
        <v>5232</v>
      </c>
      <c r="J1512" s="2828" t="s">
        <v>5233</v>
      </c>
      <c r="K1512" s="2834"/>
      <c r="L1512" s="2844"/>
      <c r="M1512" s="3002"/>
      <c r="N1512" s="2844"/>
      <c r="O1512" s="3002">
        <v>35</v>
      </c>
      <c r="P1512" s="2848">
        <f t="shared" si="51"/>
        <v>150</v>
      </c>
      <c r="Q1512" s="2850"/>
      <c r="R1512" s="2852">
        <f t="shared" si="50"/>
        <v>150</v>
      </c>
      <c r="S1512" s="2396"/>
      <c r="T1512" s="2871"/>
    </row>
    <row r="1513" spans="8:22" ht="13.5">
      <c r="I1513" s="3001" t="s">
        <v>5194</v>
      </c>
      <c r="J1513" s="2828" t="s">
        <v>5251</v>
      </c>
      <c r="K1513" s="2825"/>
      <c r="L1513" s="2844">
        <v>0</v>
      </c>
      <c r="M1513" s="2826"/>
      <c r="N1513" s="2844">
        <v>0</v>
      </c>
      <c r="O1513" s="3002"/>
      <c r="P1513" s="2848">
        <f t="shared" si="51"/>
        <v>0</v>
      </c>
      <c r="Q1513" s="2850"/>
      <c r="R1513" s="2852">
        <f t="shared" si="50"/>
        <v>0</v>
      </c>
      <c r="S1513" s="2396"/>
      <c r="T1513" s="2871"/>
    </row>
    <row r="1514" spans="8:22" ht="13.5">
      <c r="I1514" s="3001" t="s">
        <v>5285</v>
      </c>
      <c r="J1514" s="2830" t="s">
        <v>5284</v>
      </c>
      <c r="K1514" s="2825"/>
      <c r="L1514" s="2844">
        <v>0</v>
      </c>
      <c r="M1514" s="2826"/>
      <c r="N1514" s="2844">
        <f>+M1514*3</f>
        <v>0</v>
      </c>
      <c r="O1514" s="2827"/>
      <c r="P1514" s="2848">
        <f t="shared" si="51"/>
        <v>0</v>
      </c>
      <c r="Q1514" s="2849"/>
      <c r="R1514" s="2852">
        <f t="shared" si="50"/>
        <v>0</v>
      </c>
      <c r="S1514" s="2396"/>
      <c r="T1514" s="2871"/>
    </row>
    <row r="1515" spans="8:22" ht="13.5">
      <c r="I1515" s="3001" t="s">
        <v>5121</v>
      </c>
      <c r="J1515" s="2830" t="s">
        <v>5122</v>
      </c>
      <c r="K1515" s="2825"/>
      <c r="L1515" s="2844">
        <v>0</v>
      </c>
      <c r="M1515" s="2826"/>
      <c r="N1515" s="2844">
        <f>+M1515*3</f>
        <v>0</v>
      </c>
      <c r="O1515" s="3002">
        <v>17</v>
      </c>
      <c r="P1515" s="2848">
        <f t="shared" ref="P1515:P1522" si="52">IF(O1515&gt;25,150,(O1515)*6)</f>
        <v>102</v>
      </c>
      <c r="Q1515" s="2849"/>
      <c r="R1515" s="2852">
        <f t="shared" si="50"/>
        <v>102</v>
      </c>
      <c r="S1515" s="2396"/>
      <c r="T1515" s="2871"/>
    </row>
    <row r="1516" spans="8:22" ht="13.5">
      <c r="I1516" s="3001" t="s">
        <v>5235</v>
      </c>
      <c r="J1516" s="2830" t="s">
        <v>5320</v>
      </c>
      <c r="K1516" s="2825"/>
      <c r="L1516" s="2844">
        <v>0</v>
      </c>
      <c r="M1516" s="2826"/>
      <c r="N1516" s="2844">
        <f>+M1516*3</f>
        <v>0</v>
      </c>
      <c r="O1516" s="3002">
        <v>40</v>
      </c>
      <c r="P1516" s="2848">
        <f t="shared" si="52"/>
        <v>150</v>
      </c>
      <c r="Q1516" s="2849"/>
      <c r="R1516" s="2852">
        <f t="shared" si="50"/>
        <v>150</v>
      </c>
      <c r="S1516" s="2396"/>
      <c r="T1516" s="2871"/>
    </row>
    <row r="1517" spans="8:22" ht="13.5">
      <c r="I1517" s="3001" t="s">
        <v>5237</v>
      </c>
      <c r="J1517" s="2828" t="s">
        <v>5238</v>
      </c>
      <c r="K1517" s="3001"/>
      <c r="L1517" s="2844">
        <f>+K1517*3</f>
        <v>0</v>
      </c>
      <c r="M1517" s="3002"/>
      <c r="N1517" s="2844"/>
      <c r="O1517" s="3002">
        <v>29</v>
      </c>
      <c r="P1517" s="2848">
        <f t="shared" si="52"/>
        <v>150</v>
      </c>
      <c r="Q1517" s="2850"/>
      <c r="R1517" s="2852">
        <f t="shared" ref="R1517:R1523" si="53">+L1517+N1517+P1517+Q1517</f>
        <v>150</v>
      </c>
      <c r="S1517" s="2808"/>
      <c r="T1517" s="2871"/>
    </row>
    <row r="1518" spans="8:22" ht="13.5">
      <c r="I1518" s="3001" t="s">
        <v>5101</v>
      </c>
      <c r="J1518" s="2828" t="s">
        <v>5289</v>
      </c>
      <c r="K1518" s="2825"/>
      <c r="L1518" s="2844">
        <f>+K1518*3</f>
        <v>0</v>
      </c>
      <c r="M1518" s="2826"/>
      <c r="N1518" s="2844">
        <v>0</v>
      </c>
      <c r="O1518" s="3002"/>
      <c r="P1518" s="2848">
        <f t="shared" si="52"/>
        <v>0</v>
      </c>
      <c r="Q1518" s="2850"/>
      <c r="R1518" s="2852">
        <f t="shared" si="53"/>
        <v>0</v>
      </c>
      <c r="S1518" s="2396"/>
      <c r="T1518" s="2871"/>
    </row>
    <row r="1519" spans="8:22" ht="13.5">
      <c r="I1519" s="3001" t="s">
        <v>5102</v>
      </c>
      <c r="J1519" s="2830" t="s">
        <v>5098</v>
      </c>
      <c r="K1519" s="2825"/>
      <c r="L1519" s="2844">
        <f>+K1519*3</f>
        <v>0</v>
      </c>
      <c r="M1519" s="2826"/>
      <c r="N1519" s="2844">
        <v>0</v>
      </c>
      <c r="O1519" s="3002"/>
      <c r="P1519" s="2847">
        <f t="shared" si="52"/>
        <v>0</v>
      </c>
      <c r="Q1519" s="2849"/>
      <c r="R1519" s="2852">
        <f t="shared" si="53"/>
        <v>0</v>
      </c>
      <c r="S1519" s="2396"/>
      <c r="T1519" s="2871"/>
    </row>
    <row r="1520" spans="8:22" ht="13.5">
      <c r="I1520" s="3001" t="s">
        <v>5103</v>
      </c>
      <c r="J1520" s="2828" t="s">
        <v>5240</v>
      </c>
      <c r="K1520" s="2834"/>
      <c r="L1520" s="2844"/>
      <c r="M1520" s="3002"/>
      <c r="N1520" s="2844">
        <f>+M1520*3</f>
        <v>0</v>
      </c>
      <c r="O1520" s="3002">
        <v>24</v>
      </c>
      <c r="P1520" s="2848">
        <f t="shared" si="52"/>
        <v>144</v>
      </c>
      <c r="Q1520" s="2850"/>
      <c r="R1520" s="2852">
        <f t="shared" si="53"/>
        <v>144</v>
      </c>
      <c r="S1520" s="2808"/>
      <c r="T1520" s="2871"/>
    </row>
    <row r="1521" spans="4:22" ht="13.5">
      <c r="I1521" s="3001" t="s">
        <v>5324</v>
      </c>
      <c r="J1521" s="2828" t="s">
        <v>5325</v>
      </c>
      <c r="K1521" s="2834"/>
      <c r="L1521" s="2844"/>
      <c r="M1521" s="3002"/>
      <c r="N1521" s="2844"/>
      <c r="O1521" s="3002">
        <v>25</v>
      </c>
      <c r="P1521" s="2848">
        <f t="shared" si="52"/>
        <v>150</v>
      </c>
      <c r="Q1521" s="2850"/>
      <c r="R1521" s="2852">
        <f t="shared" si="53"/>
        <v>150</v>
      </c>
      <c r="S1521" s="2808"/>
      <c r="T1521" s="2871"/>
    </row>
    <row r="1522" spans="4:22" ht="13.5">
      <c r="I1522" s="2837" t="s">
        <v>5312</v>
      </c>
      <c r="J1522" s="2880" t="s">
        <v>5313</v>
      </c>
      <c r="K1522" s="2881"/>
      <c r="L1522" s="2882">
        <v>0</v>
      </c>
      <c r="M1522" s="2883"/>
      <c r="N1522" s="2882">
        <f>+M1522*3</f>
        <v>0</v>
      </c>
      <c r="O1522" s="2972">
        <v>27</v>
      </c>
      <c r="P1522" s="2885">
        <f t="shared" si="52"/>
        <v>150</v>
      </c>
      <c r="Q1522" s="2886"/>
      <c r="R1522" s="2853">
        <f t="shared" si="53"/>
        <v>150</v>
      </c>
      <c r="S1522" s="2396"/>
      <c r="T1522" s="2871"/>
    </row>
    <row r="1523" spans="4:22" ht="13.5">
      <c r="I1523" s="2839"/>
      <c r="J1523" s="2840"/>
      <c r="K1523" s="2963">
        <f t="shared" ref="K1523:Q1523" si="54">SUM(K1492:K1522)</f>
        <v>0</v>
      </c>
      <c r="L1523" s="2964">
        <f t="shared" si="54"/>
        <v>0</v>
      </c>
      <c r="M1523" s="2963">
        <f t="shared" si="54"/>
        <v>0</v>
      </c>
      <c r="N1523" s="2964">
        <f t="shared" si="54"/>
        <v>0</v>
      </c>
      <c r="O1523" s="2877">
        <f t="shared" si="54"/>
        <v>396</v>
      </c>
      <c r="P1523" s="2879">
        <f t="shared" si="54"/>
        <v>1956</v>
      </c>
      <c r="Q1523" s="2879">
        <f t="shared" si="54"/>
        <v>0</v>
      </c>
      <c r="R1523" s="2878">
        <f t="shared" si="53"/>
        <v>1956</v>
      </c>
      <c r="S1523" s="96"/>
      <c r="T1523" s="2871"/>
    </row>
    <row r="1524" spans="4:22">
      <c r="T1524" s="2871"/>
    </row>
    <row r="1525" spans="4:22">
      <c r="N1525" s="1866"/>
      <c r="R1525" s="68">
        <f>+R1523-R1511</f>
        <v>1956</v>
      </c>
    </row>
    <row r="1527" spans="4:22" ht="13.5">
      <c r="D1527" s="3016"/>
      <c r="I1527" s="3830" t="s">
        <v>5371</v>
      </c>
      <c r="J1527" s="3830"/>
      <c r="K1527" s="3830"/>
      <c r="L1527" s="3830"/>
      <c r="M1527" s="3830"/>
      <c r="N1527" s="3830"/>
      <c r="O1527" s="3830"/>
      <c r="P1527" s="3830"/>
      <c r="Q1527" s="3830"/>
      <c r="R1527" s="3830"/>
      <c r="T1527" s="2873"/>
    </row>
    <row r="1528" spans="4:22" ht="13.5">
      <c r="D1528" s="3016"/>
      <c r="I1528" s="2821"/>
      <c r="J1528" s="2821"/>
      <c r="K1528" s="3831" t="s">
        <v>5286</v>
      </c>
      <c r="L1528" s="3832"/>
      <c r="M1528" s="3832"/>
      <c r="N1528" s="3833"/>
      <c r="O1528" s="3832" t="s">
        <v>4643</v>
      </c>
      <c r="P1528" s="3833"/>
      <c r="Q1528" s="2821"/>
      <c r="R1528" s="2821"/>
      <c r="T1528" s="2873"/>
    </row>
    <row r="1529" spans="4:22" ht="40.5">
      <c r="D1529" s="3016"/>
      <c r="I1529" s="2841" t="s">
        <v>1600</v>
      </c>
      <c r="J1529" s="2841" t="s">
        <v>2067</v>
      </c>
      <c r="K1529" s="2953" t="s">
        <v>5131</v>
      </c>
      <c r="L1529" s="2953" t="s">
        <v>5342</v>
      </c>
      <c r="M1529" s="2822" t="s">
        <v>5131</v>
      </c>
      <c r="N1529" s="2822" t="s">
        <v>5374</v>
      </c>
      <c r="O1529" s="2822" t="s">
        <v>5131</v>
      </c>
      <c r="P1529" s="2822" t="s">
        <v>5372</v>
      </c>
      <c r="Q1529" s="2822" t="s">
        <v>5373</v>
      </c>
      <c r="R1529" s="2842" t="s">
        <v>5294</v>
      </c>
      <c r="T1529" s="2873"/>
    </row>
    <row r="1530" spans="4:22" ht="13.5">
      <c r="D1530" s="3016"/>
      <c r="I1530" s="2823" t="s">
        <v>5281</v>
      </c>
      <c r="J1530" s="2824" t="s">
        <v>5280</v>
      </c>
      <c r="K1530" s="2825"/>
      <c r="L1530" s="2846">
        <f>+K1530*3</f>
        <v>0</v>
      </c>
      <c r="M1530" s="2826">
        <v>10</v>
      </c>
      <c r="N1530" s="2844">
        <v>0</v>
      </c>
      <c r="O1530" s="2827"/>
      <c r="P1530" s="2847"/>
      <c r="Q1530" s="2849"/>
      <c r="R1530" s="2851">
        <f>+L1530+N1530+P1530+Q1530</f>
        <v>0</v>
      </c>
      <c r="S1530" s="2396"/>
      <c r="T1530" s="2871"/>
    </row>
    <row r="1531" spans="4:22" ht="13.5">
      <c r="D1531" s="3016"/>
      <c r="I1531" s="3017" t="s">
        <v>3050</v>
      </c>
      <c r="J1531" s="2830" t="s">
        <v>5095</v>
      </c>
      <c r="K1531" s="2825"/>
      <c r="L1531" s="2844">
        <f>+K1531*3</f>
        <v>0</v>
      </c>
      <c r="M1531" s="2826">
        <v>5</v>
      </c>
      <c r="N1531" s="2844">
        <v>0</v>
      </c>
      <c r="O1531" s="2827"/>
      <c r="P1531" s="2847"/>
      <c r="Q1531" s="2849"/>
      <c r="R1531" s="2852">
        <f t="shared" ref="R1531:R1554" si="55">+L1531+N1531+P1531+Q1531</f>
        <v>0</v>
      </c>
      <c r="S1531" s="2396"/>
    </row>
    <row r="1532" spans="4:22" ht="13.5">
      <c r="D1532" s="3016"/>
      <c r="I1532" s="3017" t="s">
        <v>706</v>
      </c>
      <c r="J1532" s="2828" t="s">
        <v>5254</v>
      </c>
      <c r="K1532" s="2825"/>
      <c r="L1532" s="2844">
        <f>+K1532*3</f>
        <v>0</v>
      </c>
      <c r="M1532" s="2826">
        <v>11</v>
      </c>
      <c r="N1532" s="2844">
        <f>+M1532*3</f>
        <v>33</v>
      </c>
      <c r="O1532" s="3018"/>
      <c r="P1532" s="2848">
        <f>IF(O1532&gt;25,150,(O1532)*6)</f>
        <v>0</v>
      </c>
      <c r="Q1532" s="2850"/>
      <c r="R1532" s="2852">
        <f t="shared" si="55"/>
        <v>33</v>
      </c>
      <c r="S1532" s="2396"/>
      <c r="T1532" s="2871"/>
      <c r="U1532" s="3828">
        <v>43131</v>
      </c>
      <c r="V1532" s="3829"/>
    </row>
    <row r="1533" spans="4:22" ht="13.5">
      <c r="D1533" s="3016"/>
      <c r="I1533" s="3017" t="s">
        <v>4269</v>
      </c>
      <c r="J1533" s="2828" t="s">
        <v>5255</v>
      </c>
      <c r="K1533" s="2834"/>
      <c r="L1533" s="2844"/>
      <c r="M1533" s="3018"/>
      <c r="N1533" s="2844"/>
      <c r="O1533" s="3018">
        <v>19</v>
      </c>
      <c r="P1533" s="2848">
        <f>IF(O1533&gt;25,150,(O1533)*6)</f>
        <v>114</v>
      </c>
      <c r="Q1533" s="2850"/>
      <c r="R1533" s="2852">
        <f t="shared" si="55"/>
        <v>114</v>
      </c>
      <c r="S1533" s="2396"/>
      <c r="T1533" s="2871"/>
    </row>
    <row r="1534" spans="4:22" ht="13.5">
      <c r="D1534" s="3016"/>
      <c r="I1534" s="3017" t="s">
        <v>290</v>
      </c>
      <c r="J1534" s="2830" t="s">
        <v>464</v>
      </c>
      <c r="K1534" s="2825"/>
      <c r="L1534" s="2844">
        <f>+K1534*5</f>
        <v>0</v>
      </c>
      <c r="M1534" s="2826"/>
      <c r="N1534" s="2844">
        <f>+M1534*5</f>
        <v>0</v>
      </c>
      <c r="O1534" s="2827"/>
      <c r="P1534" s="2847"/>
      <c r="Q1534" s="2849"/>
      <c r="R1534" s="2852">
        <f t="shared" si="55"/>
        <v>0</v>
      </c>
      <c r="S1534" s="2396"/>
      <c r="T1534" s="2871"/>
    </row>
    <row r="1535" spans="4:22" ht="13.5">
      <c r="D1535" s="3016"/>
      <c r="I1535" s="3017" t="s">
        <v>646</v>
      </c>
      <c r="J1535" s="2828" t="s">
        <v>5318</v>
      </c>
      <c r="K1535" s="2825"/>
      <c r="L1535" s="2844">
        <f>+K1535*3</f>
        <v>0</v>
      </c>
      <c r="M1535" s="3018">
        <v>14</v>
      </c>
      <c r="N1535" s="2844">
        <v>0</v>
      </c>
      <c r="O1535" s="3018"/>
      <c r="P1535" s="2848">
        <f>IF(O1535&gt;25,150,(O1535)*6)</f>
        <v>0</v>
      </c>
      <c r="Q1535" s="2850"/>
      <c r="R1535" s="2852">
        <f t="shared" si="55"/>
        <v>0</v>
      </c>
      <c r="S1535" s="2396"/>
      <c r="T1535" s="2871"/>
    </row>
    <row r="1536" spans="4:22" ht="13.5">
      <c r="D1536" s="3016"/>
      <c r="I1536" s="3017" t="s">
        <v>5217</v>
      </c>
      <c r="J1536" s="2828" t="s">
        <v>5218</v>
      </c>
      <c r="K1536" s="2825"/>
      <c r="L1536" s="2844">
        <v>0</v>
      </c>
      <c r="M1536" s="3018">
        <v>15</v>
      </c>
      <c r="N1536" s="2844">
        <v>0</v>
      </c>
      <c r="O1536" s="3018"/>
      <c r="P1536" s="2848">
        <f t="shared" ref="P1536:P1554" si="56">IF(O1536&gt;25,150,(O1536)*6)</f>
        <v>0</v>
      </c>
      <c r="Q1536" s="2850"/>
      <c r="R1536" s="2852">
        <f t="shared" si="55"/>
        <v>0</v>
      </c>
      <c r="S1536" s="2396"/>
      <c r="T1536" s="2871"/>
    </row>
    <row r="1537" spans="4:22" ht="13.5">
      <c r="D1537" s="3016"/>
      <c r="I1537" s="3017" t="s">
        <v>416</v>
      </c>
      <c r="J1537" s="2828" t="s">
        <v>5219</v>
      </c>
      <c r="K1537" s="2834"/>
      <c r="L1537" s="2844"/>
      <c r="M1537" s="3018">
        <v>14</v>
      </c>
      <c r="N1537" s="2844">
        <v>0</v>
      </c>
      <c r="O1537" s="3018"/>
      <c r="P1537" s="2848">
        <f t="shared" si="56"/>
        <v>0</v>
      </c>
      <c r="Q1537" s="2850"/>
      <c r="R1537" s="2852">
        <f t="shared" si="55"/>
        <v>0</v>
      </c>
      <c r="S1537" s="2396"/>
      <c r="T1537" s="2871"/>
    </row>
    <row r="1538" spans="4:22" ht="13.5">
      <c r="D1538" s="3016"/>
      <c r="I1538" s="3017" t="s">
        <v>5193</v>
      </c>
      <c r="J1538" s="2828" t="s">
        <v>5224</v>
      </c>
      <c r="K1538" s="2834"/>
      <c r="L1538" s="2844"/>
      <c r="M1538" s="3018">
        <v>15</v>
      </c>
      <c r="N1538" s="2844">
        <v>0</v>
      </c>
      <c r="O1538" s="3018">
        <v>13</v>
      </c>
      <c r="P1538" s="2848">
        <f t="shared" si="56"/>
        <v>78</v>
      </c>
      <c r="Q1538" s="2850"/>
      <c r="R1538" s="2852">
        <f t="shared" si="55"/>
        <v>78</v>
      </c>
      <c r="S1538" s="2396"/>
      <c r="T1538" s="2871"/>
    </row>
    <row r="1539" spans="4:22" ht="13.5">
      <c r="D1539" s="3016"/>
      <c r="I1539" s="3017" t="s">
        <v>5128</v>
      </c>
      <c r="J1539" s="2828" t="s">
        <v>5220</v>
      </c>
      <c r="K1539" s="2825"/>
      <c r="L1539" s="2844">
        <v>0</v>
      </c>
      <c r="M1539" s="2826"/>
      <c r="N1539" s="2844">
        <v>0</v>
      </c>
      <c r="O1539" s="3018">
        <v>31</v>
      </c>
      <c r="P1539" s="2848">
        <f t="shared" si="56"/>
        <v>150</v>
      </c>
      <c r="Q1539" s="2850"/>
      <c r="R1539" s="2852">
        <f t="shared" si="55"/>
        <v>150</v>
      </c>
      <c r="S1539" s="2396"/>
      <c r="T1539" s="2871">
        <v>860</v>
      </c>
      <c r="U1539">
        <v>111.8</v>
      </c>
      <c r="V1539">
        <v>748.2</v>
      </c>
    </row>
    <row r="1540" spans="4:22" ht="13.5">
      <c r="D1540" s="3016"/>
      <c r="I1540" s="3017" t="s">
        <v>5118</v>
      </c>
      <c r="J1540" s="2830" t="s">
        <v>5319</v>
      </c>
      <c r="K1540" s="2825"/>
      <c r="L1540" s="2844">
        <f>+K1540*3</f>
        <v>0</v>
      </c>
      <c r="M1540" s="2826">
        <v>16</v>
      </c>
      <c r="N1540" s="2844">
        <v>0</v>
      </c>
      <c r="O1540" s="3018"/>
      <c r="P1540" s="2848">
        <f t="shared" si="56"/>
        <v>0</v>
      </c>
      <c r="Q1540" s="2849"/>
      <c r="R1540" s="2852">
        <f t="shared" si="55"/>
        <v>0</v>
      </c>
      <c r="S1540" s="2396"/>
      <c r="T1540" s="2871">
        <f>+U1540+V1540</f>
        <v>827.58620689655174</v>
      </c>
      <c r="U1540">
        <f>+U1539*V1540/V1539</f>
        <v>107.58620689655172</v>
      </c>
      <c r="V1540">
        <v>720</v>
      </c>
    </row>
    <row r="1541" spans="4:22" ht="13.5">
      <c r="D1541" s="3016"/>
      <c r="I1541" s="3017" t="s">
        <v>5222</v>
      </c>
      <c r="J1541" s="2828" t="s">
        <v>5223</v>
      </c>
      <c r="K1541" s="2834"/>
      <c r="L1541" s="2844"/>
      <c r="M1541" s="3018"/>
      <c r="N1541" s="2844"/>
      <c r="O1541" s="3018">
        <v>38</v>
      </c>
      <c r="P1541" s="2848">
        <f t="shared" si="56"/>
        <v>150</v>
      </c>
      <c r="Q1541" s="2850"/>
      <c r="R1541" s="2852">
        <f t="shared" si="55"/>
        <v>150</v>
      </c>
      <c r="S1541" s="2396"/>
      <c r="T1541" s="2930">
        <f>+T1539-T1540</f>
        <v>32.413793103448256</v>
      </c>
    </row>
    <row r="1542" spans="4:22" ht="13.5">
      <c r="D1542" s="3016"/>
      <c r="I1542" s="3017" t="s">
        <v>5252</v>
      </c>
      <c r="J1542" s="2828" t="s">
        <v>5253</v>
      </c>
      <c r="K1542" s="2825"/>
      <c r="L1542" s="2844">
        <f>+K1542*3</f>
        <v>0</v>
      </c>
      <c r="M1542" s="2826"/>
      <c r="N1542" s="2844">
        <f>+M1542*3</f>
        <v>0</v>
      </c>
      <c r="O1542" s="3018"/>
      <c r="P1542" s="2848">
        <f t="shared" si="56"/>
        <v>0</v>
      </c>
      <c r="Q1542" s="2850"/>
      <c r="R1542" s="2852">
        <f t="shared" si="55"/>
        <v>0</v>
      </c>
      <c r="S1542" s="2396"/>
      <c r="T1542" s="2871">
        <v>150</v>
      </c>
      <c r="U1542" s="2983">
        <f>+T1542-T1541</f>
        <v>117.58620689655174</v>
      </c>
    </row>
    <row r="1543" spans="4:22" ht="13.5">
      <c r="D1543" s="3016"/>
      <c r="I1543" s="3017" t="s">
        <v>799</v>
      </c>
      <c r="J1543" s="2828" t="s">
        <v>5225</v>
      </c>
      <c r="K1543" s="2834"/>
      <c r="L1543" s="2844"/>
      <c r="M1543" s="3018"/>
      <c r="N1543" s="2844"/>
      <c r="O1543" s="3018"/>
      <c r="P1543" s="2848">
        <f t="shared" si="56"/>
        <v>0</v>
      </c>
      <c r="Q1543" s="2850"/>
      <c r="R1543" s="2852">
        <f t="shared" si="55"/>
        <v>0</v>
      </c>
      <c r="S1543" s="2396"/>
      <c r="T1543" s="2871"/>
    </row>
    <row r="1544" spans="4:22" ht="13.5">
      <c r="D1544" s="3016"/>
      <c r="I1544" s="3017" t="s">
        <v>793</v>
      </c>
      <c r="J1544" s="2828" t="s">
        <v>5226</v>
      </c>
      <c r="K1544" s="2834"/>
      <c r="L1544" s="2844"/>
      <c r="M1544" s="3018"/>
      <c r="N1544" s="2844"/>
      <c r="O1544" s="3018">
        <v>40</v>
      </c>
      <c r="P1544" s="2848">
        <f t="shared" si="56"/>
        <v>150</v>
      </c>
      <c r="Q1544" s="2850"/>
      <c r="R1544" s="2852">
        <f t="shared" si="55"/>
        <v>150</v>
      </c>
      <c r="S1544" s="2396"/>
      <c r="T1544" s="2871">
        <v>828</v>
      </c>
      <c r="U1544">
        <v>107.64</v>
      </c>
      <c r="V1544">
        <v>720.36</v>
      </c>
    </row>
    <row r="1545" spans="4:22" ht="13.5">
      <c r="D1545" s="3016"/>
      <c r="I1545" s="3017" t="s">
        <v>5227</v>
      </c>
      <c r="J1545" s="2828" t="s">
        <v>5228</v>
      </c>
      <c r="K1545" s="2834"/>
      <c r="L1545" s="2844"/>
      <c r="M1545" s="3018"/>
      <c r="N1545" s="2844"/>
      <c r="O1545" s="3018">
        <v>25</v>
      </c>
      <c r="P1545" s="2848">
        <f t="shared" si="56"/>
        <v>150</v>
      </c>
      <c r="Q1545" s="2850"/>
      <c r="R1545" s="2852">
        <f t="shared" si="55"/>
        <v>150</v>
      </c>
      <c r="S1545" s="2396"/>
      <c r="T1545" s="2871">
        <f>+U1545+V1545</f>
        <v>827.58620689655174</v>
      </c>
      <c r="U1545">
        <f>+U1544*V1545/V1544</f>
        <v>107.58620689655173</v>
      </c>
      <c r="V1545">
        <v>720</v>
      </c>
    </row>
    <row r="1546" spans="4:22" ht="13.5">
      <c r="D1546" s="3016"/>
      <c r="I1546" s="3017" t="s">
        <v>5287</v>
      </c>
      <c r="J1546" s="2828" t="s">
        <v>5288</v>
      </c>
      <c r="K1546" s="2834"/>
      <c r="L1546" s="2844"/>
      <c r="M1546" s="3018"/>
      <c r="N1546" s="2844"/>
      <c r="O1546" s="3018">
        <v>33</v>
      </c>
      <c r="P1546" s="2848">
        <f t="shared" si="56"/>
        <v>150</v>
      </c>
      <c r="Q1546" s="2850"/>
      <c r="R1546" s="2852">
        <f t="shared" si="55"/>
        <v>150</v>
      </c>
      <c r="S1546" s="2396"/>
      <c r="T1546" s="2930">
        <f>+T1544-T1545</f>
        <v>0.41379310344825626</v>
      </c>
    </row>
    <row r="1547" spans="4:22" ht="13.5">
      <c r="D1547" s="3016"/>
      <c r="I1547" s="3017" t="s">
        <v>5100</v>
      </c>
      <c r="J1547" s="2828" t="s">
        <v>5229</v>
      </c>
      <c r="K1547" s="2834"/>
      <c r="L1547" s="2844"/>
      <c r="M1547" s="3018"/>
      <c r="N1547" s="2844"/>
      <c r="O1547" s="3018">
        <v>29</v>
      </c>
      <c r="P1547" s="2848">
        <f t="shared" si="56"/>
        <v>150</v>
      </c>
      <c r="Q1547" s="2850"/>
      <c r="R1547" s="2852">
        <f t="shared" si="55"/>
        <v>150</v>
      </c>
      <c r="S1547" s="2396"/>
      <c r="T1547" s="2871">
        <v>150</v>
      </c>
      <c r="U1547" s="2983">
        <f>+T1547-T1546</f>
        <v>149.58620689655174</v>
      </c>
    </row>
    <row r="1548" spans="4:22" ht="13.5">
      <c r="D1548" s="3016"/>
      <c r="I1548" s="3017" t="s">
        <v>5230</v>
      </c>
      <c r="J1548" s="2828" t="s">
        <v>5231</v>
      </c>
      <c r="K1548" s="2834"/>
      <c r="L1548" s="2844"/>
      <c r="M1548" s="3018"/>
      <c r="N1548" s="2844"/>
      <c r="O1548" s="3018"/>
      <c r="P1548" s="2848">
        <f t="shared" si="56"/>
        <v>0</v>
      </c>
      <c r="Q1548" s="2850"/>
      <c r="R1548" s="2852">
        <f t="shared" si="55"/>
        <v>0</v>
      </c>
      <c r="S1548" s="2396"/>
      <c r="T1548" s="2871"/>
    </row>
    <row r="1549" spans="4:22" ht="13.5">
      <c r="D1549" s="3016"/>
      <c r="H1549" s="3000" t="s">
        <v>5362</v>
      </c>
      <c r="I1549" s="2974" t="s">
        <v>5120</v>
      </c>
      <c r="J1549" s="2975" t="s">
        <v>3321</v>
      </c>
      <c r="K1549" s="2976"/>
      <c r="L1549" s="2977">
        <f>+K1549*3</f>
        <v>0</v>
      </c>
      <c r="M1549" s="2978">
        <v>10</v>
      </c>
      <c r="N1549" s="2977">
        <v>0</v>
      </c>
      <c r="O1549" s="2979"/>
      <c r="P1549" s="2980">
        <f t="shared" si="56"/>
        <v>0</v>
      </c>
      <c r="Q1549" s="2981"/>
      <c r="R1549" s="2982">
        <f t="shared" si="55"/>
        <v>0</v>
      </c>
      <c r="S1549" s="2396"/>
      <c r="T1549" s="2973"/>
    </row>
    <row r="1550" spans="4:22" ht="13.5">
      <c r="D1550" s="3016"/>
      <c r="I1550" s="3017" t="s">
        <v>5232</v>
      </c>
      <c r="J1550" s="2828" t="s">
        <v>5233</v>
      </c>
      <c r="K1550" s="2834"/>
      <c r="L1550" s="2844"/>
      <c r="M1550" s="3018"/>
      <c r="N1550" s="2844"/>
      <c r="O1550" s="3018">
        <v>34</v>
      </c>
      <c r="P1550" s="2848">
        <f t="shared" si="56"/>
        <v>150</v>
      </c>
      <c r="Q1550" s="2850"/>
      <c r="R1550" s="2852">
        <f t="shared" si="55"/>
        <v>150</v>
      </c>
      <c r="S1550" s="2396"/>
      <c r="T1550" s="2871"/>
    </row>
    <row r="1551" spans="4:22" ht="13.5">
      <c r="D1551" s="3016"/>
      <c r="I1551" s="3017" t="s">
        <v>5194</v>
      </c>
      <c r="J1551" s="2828" t="s">
        <v>5251</v>
      </c>
      <c r="K1551" s="2825"/>
      <c r="L1551" s="2844">
        <v>0</v>
      </c>
      <c r="M1551" s="2826">
        <v>13</v>
      </c>
      <c r="N1551" s="2844">
        <v>0</v>
      </c>
      <c r="O1551" s="3018"/>
      <c r="P1551" s="2848">
        <f t="shared" si="56"/>
        <v>0</v>
      </c>
      <c r="Q1551" s="2850"/>
      <c r="R1551" s="2852">
        <f t="shared" si="55"/>
        <v>0</v>
      </c>
      <c r="S1551" s="2396"/>
      <c r="T1551" s="2871"/>
    </row>
    <row r="1552" spans="4:22" ht="13.5">
      <c r="D1552" s="3016"/>
      <c r="I1552" s="3017" t="s">
        <v>5285</v>
      </c>
      <c r="J1552" s="2830" t="s">
        <v>5284</v>
      </c>
      <c r="K1552" s="2825"/>
      <c r="L1552" s="2844">
        <v>0</v>
      </c>
      <c r="M1552" s="2826"/>
      <c r="N1552" s="2844">
        <f>+M1552*3</f>
        <v>0</v>
      </c>
      <c r="O1552" s="2827"/>
      <c r="P1552" s="2848">
        <f t="shared" si="56"/>
        <v>0</v>
      </c>
      <c r="Q1552" s="2849"/>
      <c r="R1552" s="2852">
        <f t="shared" si="55"/>
        <v>0</v>
      </c>
      <c r="S1552" s="2396"/>
      <c r="T1552" s="2871"/>
    </row>
    <row r="1553" spans="4:20" ht="13.5">
      <c r="D1553" s="3016"/>
      <c r="I1553" s="3017" t="s">
        <v>5121</v>
      </c>
      <c r="J1553" s="2830" t="s">
        <v>5122</v>
      </c>
      <c r="K1553" s="2825"/>
      <c r="L1553" s="2844">
        <v>0</v>
      </c>
      <c r="M1553" s="2826"/>
      <c r="N1553" s="2844">
        <f>+M1553*3</f>
        <v>0</v>
      </c>
      <c r="O1553" s="3018">
        <v>27</v>
      </c>
      <c r="P1553" s="2848">
        <f t="shared" si="56"/>
        <v>150</v>
      </c>
      <c r="Q1553" s="2849"/>
      <c r="R1553" s="2852">
        <f t="shared" si="55"/>
        <v>150</v>
      </c>
      <c r="S1553" s="2396"/>
      <c r="T1553" s="2871"/>
    </row>
    <row r="1554" spans="4:20" ht="13.5">
      <c r="D1554" s="3016"/>
      <c r="I1554" s="3017" t="s">
        <v>5235</v>
      </c>
      <c r="J1554" s="2830" t="s">
        <v>5320</v>
      </c>
      <c r="K1554" s="2825"/>
      <c r="L1554" s="2844">
        <v>0</v>
      </c>
      <c r="M1554" s="2826"/>
      <c r="N1554" s="2844">
        <f>+M1554*3</f>
        <v>0</v>
      </c>
      <c r="O1554" s="3018">
        <v>40</v>
      </c>
      <c r="P1554" s="2848">
        <f t="shared" si="56"/>
        <v>150</v>
      </c>
      <c r="Q1554" s="2849"/>
      <c r="R1554" s="2852">
        <f t="shared" si="55"/>
        <v>150</v>
      </c>
      <c r="S1554" s="2396"/>
      <c r="T1554" s="2871"/>
    </row>
    <row r="1555" spans="4:20" ht="13.5">
      <c r="D1555" s="3016"/>
      <c r="I1555" s="3017" t="s">
        <v>5237</v>
      </c>
      <c r="J1555" s="2828" t="s">
        <v>5238</v>
      </c>
      <c r="K1555" s="3017"/>
      <c r="L1555" s="2844">
        <f>+K1555*3</f>
        <v>0</v>
      </c>
      <c r="M1555" s="3018"/>
      <c r="N1555" s="2844"/>
      <c r="O1555" s="3018">
        <v>33</v>
      </c>
      <c r="P1555" s="2848">
        <f t="shared" ref="P1555:P1562" si="57">IF(O1555&gt;25,150,(O1555)*6)</f>
        <v>150</v>
      </c>
      <c r="Q1555" s="2850"/>
      <c r="R1555" s="2852">
        <f t="shared" ref="R1555:R1563" si="58">+L1555+N1555+P1555+Q1555</f>
        <v>150</v>
      </c>
      <c r="S1555" s="2808"/>
      <c r="T1555" s="2871"/>
    </row>
    <row r="1556" spans="4:20" ht="13.5">
      <c r="D1556" s="3016"/>
      <c r="I1556" s="3017" t="s">
        <v>5101</v>
      </c>
      <c r="J1556" s="2828" t="s">
        <v>5289</v>
      </c>
      <c r="K1556" s="2825"/>
      <c r="L1556" s="2844">
        <f>+K1556*3</f>
        <v>0</v>
      </c>
      <c r="M1556" s="2826">
        <v>15</v>
      </c>
      <c r="N1556" s="2844">
        <v>0</v>
      </c>
      <c r="O1556" s="3018"/>
      <c r="P1556" s="2848">
        <f t="shared" si="57"/>
        <v>0</v>
      </c>
      <c r="Q1556" s="2850"/>
      <c r="R1556" s="2852">
        <f t="shared" si="58"/>
        <v>0</v>
      </c>
      <c r="S1556" s="2396"/>
      <c r="T1556" s="2871"/>
    </row>
    <row r="1557" spans="4:20" ht="13.5">
      <c r="D1557" s="3016"/>
      <c r="I1557" s="3017" t="s">
        <v>5102</v>
      </c>
      <c r="J1557" s="2830" t="s">
        <v>5098</v>
      </c>
      <c r="K1557" s="2825"/>
      <c r="L1557" s="2844">
        <f>+K1557*3</f>
        <v>0</v>
      </c>
      <c r="M1557" s="2826">
        <v>17</v>
      </c>
      <c r="N1557" s="2844">
        <v>0</v>
      </c>
      <c r="O1557" s="3018"/>
      <c r="P1557" s="2847">
        <f t="shared" si="57"/>
        <v>0</v>
      </c>
      <c r="Q1557" s="2849"/>
      <c r="R1557" s="2852">
        <f t="shared" si="58"/>
        <v>0</v>
      </c>
      <c r="S1557" s="2396"/>
      <c r="T1557" s="2871"/>
    </row>
    <row r="1558" spans="4:20" ht="13.5">
      <c r="D1558" s="3016"/>
      <c r="I1558" s="3017" t="s">
        <v>5103</v>
      </c>
      <c r="J1558" s="2828" t="s">
        <v>5240</v>
      </c>
      <c r="K1558" s="2834"/>
      <c r="L1558" s="2844"/>
      <c r="M1558" s="3018"/>
      <c r="N1558" s="2844">
        <f>+M1558*3</f>
        <v>0</v>
      </c>
      <c r="O1558" s="3018">
        <v>9</v>
      </c>
      <c r="P1558" s="2848">
        <f t="shared" si="57"/>
        <v>54</v>
      </c>
      <c r="Q1558" s="2850"/>
      <c r="R1558" s="2852">
        <f t="shared" si="58"/>
        <v>54</v>
      </c>
      <c r="S1558" s="2808"/>
      <c r="T1558" s="2871"/>
    </row>
    <row r="1559" spans="4:20" ht="13.5">
      <c r="D1559" s="3016"/>
      <c r="I1559" s="3017" t="s">
        <v>5324</v>
      </c>
      <c r="J1559" s="2828" t="s">
        <v>5325</v>
      </c>
      <c r="K1559" s="2834"/>
      <c r="L1559" s="2844"/>
      <c r="M1559" s="3018"/>
      <c r="N1559" s="2844"/>
      <c r="O1559" s="3018">
        <v>25</v>
      </c>
      <c r="P1559" s="2848">
        <f t="shared" si="57"/>
        <v>150</v>
      </c>
      <c r="Q1559" s="2850"/>
      <c r="R1559" s="2852">
        <f t="shared" si="58"/>
        <v>150</v>
      </c>
      <c r="S1559" s="2808"/>
      <c r="T1559" s="2871"/>
    </row>
    <row r="1560" spans="4:20" ht="13.5">
      <c r="D1560" s="3016"/>
      <c r="I1560" s="3017" t="s">
        <v>5312</v>
      </c>
      <c r="J1560" s="2828" t="s">
        <v>5313</v>
      </c>
      <c r="K1560" s="2834"/>
      <c r="L1560" s="2844">
        <v>0</v>
      </c>
      <c r="M1560" s="3018"/>
      <c r="N1560" s="2844">
        <f>+M1560*3</f>
        <v>0</v>
      </c>
      <c r="O1560" s="3018">
        <v>29</v>
      </c>
      <c r="P1560" s="2848">
        <f t="shared" si="57"/>
        <v>150</v>
      </c>
      <c r="Q1560" s="2850"/>
      <c r="R1560" s="2852">
        <f t="shared" si="58"/>
        <v>150</v>
      </c>
      <c r="S1560" s="2808"/>
      <c r="T1560" s="2871"/>
    </row>
    <row r="1561" spans="4:20" ht="13.5">
      <c r="D1561" s="3016"/>
      <c r="I1561" s="3017" t="s">
        <v>5375</v>
      </c>
      <c r="J1561" s="2828" t="s">
        <v>5376</v>
      </c>
      <c r="K1561" s="2834"/>
      <c r="L1561" s="2844">
        <v>0</v>
      </c>
      <c r="M1561" s="3018">
        <v>7</v>
      </c>
      <c r="N1561" s="2844">
        <v>0</v>
      </c>
      <c r="O1561" s="3018"/>
      <c r="P1561" s="2848">
        <f t="shared" si="57"/>
        <v>0</v>
      </c>
      <c r="Q1561" s="2850"/>
      <c r="R1561" s="2852">
        <f t="shared" si="58"/>
        <v>0</v>
      </c>
      <c r="S1561" s="2808"/>
      <c r="T1561" s="2871"/>
    </row>
    <row r="1562" spans="4:20" ht="13.5">
      <c r="D1562" s="3016"/>
      <c r="I1562" s="2837" t="s">
        <v>5377</v>
      </c>
      <c r="J1562" s="2880" t="s">
        <v>5378</v>
      </c>
      <c r="K1562" s="2881"/>
      <c r="L1562" s="2882">
        <v>0</v>
      </c>
      <c r="M1562" s="2883">
        <v>6</v>
      </c>
      <c r="N1562" s="2882">
        <v>0</v>
      </c>
      <c r="O1562" s="2972"/>
      <c r="P1562" s="2885">
        <f t="shared" si="57"/>
        <v>0</v>
      </c>
      <c r="Q1562" s="2886"/>
      <c r="R1562" s="2853">
        <f t="shared" si="58"/>
        <v>0</v>
      </c>
      <c r="S1562" s="2396"/>
      <c r="T1562" s="2871"/>
    </row>
    <row r="1563" spans="4:20" ht="13.5">
      <c r="D1563" s="3016"/>
      <c r="I1563" s="2839"/>
      <c r="J1563" s="2840"/>
      <c r="K1563" s="2963">
        <f t="shared" ref="K1563:Q1563" si="59">SUM(K1530:K1562)</f>
        <v>0</v>
      </c>
      <c r="L1563" s="2964">
        <f t="shared" si="59"/>
        <v>0</v>
      </c>
      <c r="M1563" s="2877">
        <f t="shared" si="59"/>
        <v>168</v>
      </c>
      <c r="N1563" s="2879">
        <f t="shared" si="59"/>
        <v>33</v>
      </c>
      <c r="O1563" s="2877">
        <f t="shared" si="59"/>
        <v>425</v>
      </c>
      <c r="P1563" s="2879">
        <f t="shared" si="59"/>
        <v>2046</v>
      </c>
      <c r="Q1563" s="2879">
        <f t="shared" si="59"/>
        <v>0</v>
      </c>
      <c r="R1563" s="2878">
        <f t="shared" si="58"/>
        <v>2079</v>
      </c>
      <c r="S1563" s="96"/>
      <c r="T1563" s="2871"/>
    </row>
    <row r="1564" spans="4:20">
      <c r="D1564" s="3016"/>
      <c r="T1564" s="2871"/>
    </row>
    <row r="1565" spans="4:20">
      <c r="D1565" s="3016"/>
      <c r="N1565" s="1866"/>
      <c r="R1565" s="68">
        <f>+R1563-R1549</f>
        <v>2079</v>
      </c>
    </row>
    <row r="1566" spans="4:20">
      <c r="D1566" s="3016"/>
    </row>
    <row r="1567" spans="4:20">
      <c r="D1567" s="3020"/>
    </row>
    <row r="1568" spans="4:20" ht="13.5">
      <c r="D1568" s="3020"/>
      <c r="I1568" s="3830" t="s">
        <v>5380</v>
      </c>
      <c r="J1568" s="3830"/>
      <c r="K1568" s="3830"/>
      <c r="L1568" s="3830"/>
      <c r="M1568" s="3830"/>
      <c r="N1568" s="3830"/>
      <c r="O1568" s="3830"/>
      <c r="P1568" s="3830"/>
      <c r="Q1568" s="3830"/>
      <c r="R1568" s="3830"/>
      <c r="T1568" s="2873"/>
    </row>
    <row r="1569" spans="4:22" ht="13.5">
      <c r="D1569" s="3020"/>
      <c r="I1569" s="2821"/>
      <c r="J1569" s="2821"/>
      <c r="K1569" s="3831" t="s">
        <v>5286</v>
      </c>
      <c r="L1569" s="3832"/>
      <c r="M1569" s="3832"/>
      <c r="N1569" s="3833"/>
      <c r="O1569" s="3832" t="s">
        <v>4643</v>
      </c>
      <c r="P1569" s="3833"/>
      <c r="Q1569" s="2821"/>
      <c r="R1569" s="2821"/>
      <c r="T1569" s="2873"/>
    </row>
    <row r="1570" spans="4:22" ht="40.5">
      <c r="D1570" s="3020"/>
      <c r="I1570" s="2841" t="s">
        <v>1600</v>
      </c>
      <c r="J1570" s="2841" t="s">
        <v>2067</v>
      </c>
      <c r="K1570" s="2953" t="s">
        <v>5131</v>
      </c>
      <c r="L1570" s="2953" t="s">
        <v>5342</v>
      </c>
      <c r="M1570" s="2822" t="s">
        <v>5131</v>
      </c>
      <c r="N1570" s="2822" t="s">
        <v>5382</v>
      </c>
      <c r="O1570" s="2822" t="s">
        <v>5131</v>
      </c>
      <c r="P1570" s="2822" t="s">
        <v>5381</v>
      </c>
      <c r="Q1570" s="2822" t="s">
        <v>5383</v>
      </c>
      <c r="R1570" s="2842" t="s">
        <v>5294</v>
      </c>
      <c r="T1570" s="2873"/>
    </row>
    <row r="1571" spans="4:22" ht="13.5">
      <c r="D1571" s="3020"/>
      <c r="I1571" s="2823" t="s">
        <v>5281</v>
      </c>
      <c r="J1571" s="2824" t="s">
        <v>5280</v>
      </c>
      <c r="K1571" s="2825"/>
      <c r="L1571" s="2846">
        <f>+K1571*3</f>
        <v>0</v>
      </c>
      <c r="M1571" s="2826">
        <v>21</v>
      </c>
      <c r="N1571" s="2844">
        <f>+M1571*3</f>
        <v>63</v>
      </c>
      <c r="O1571" s="2827"/>
      <c r="P1571" s="2847"/>
      <c r="Q1571" s="2849"/>
      <c r="R1571" s="3023">
        <f>+L1571+N1571+P1571+Q1571</f>
        <v>63</v>
      </c>
      <c r="S1571" s="2396"/>
      <c r="T1571" s="2871"/>
    </row>
    <row r="1572" spans="4:22" ht="13.5">
      <c r="D1572" s="3020"/>
      <c r="I1572" s="3021" t="s">
        <v>3050</v>
      </c>
      <c r="J1572" s="2830" t="s">
        <v>5095</v>
      </c>
      <c r="K1572" s="2825"/>
      <c r="L1572" s="2844">
        <f>+K1572*3</f>
        <v>0</v>
      </c>
      <c r="M1572" s="2826">
        <v>15</v>
      </c>
      <c r="N1572" s="2844">
        <v>0</v>
      </c>
      <c r="O1572" s="2827"/>
      <c r="P1572" s="2847"/>
      <c r="Q1572" s="2849"/>
      <c r="R1572" s="2852">
        <f t="shared" ref="R1572:R1596" si="60">+L1572+N1572+P1572+Q1572</f>
        <v>0</v>
      </c>
      <c r="S1572" s="2396"/>
    </row>
    <row r="1573" spans="4:22" ht="13.5">
      <c r="D1573" s="3020"/>
      <c r="I1573" s="3021" t="s">
        <v>706</v>
      </c>
      <c r="J1573" s="2828" t="s">
        <v>5254</v>
      </c>
      <c r="K1573" s="2825"/>
      <c r="L1573" s="2844">
        <f>+K1573*3</f>
        <v>0</v>
      </c>
      <c r="M1573" s="2826">
        <v>26</v>
      </c>
      <c r="N1573" s="2844">
        <f>+M1573*3</f>
        <v>78</v>
      </c>
      <c r="O1573" s="3022"/>
      <c r="P1573" s="2848">
        <f>IF(O1573&gt;25,150,(O1573)*6)</f>
        <v>0</v>
      </c>
      <c r="Q1573" s="2850"/>
      <c r="R1573" s="2898">
        <f t="shared" si="60"/>
        <v>78</v>
      </c>
      <c r="S1573" s="2396"/>
      <c r="T1573" s="2871"/>
      <c r="U1573" s="3828">
        <v>43138</v>
      </c>
      <c r="V1573" s="3829"/>
    </row>
    <row r="1574" spans="4:22" ht="13.5">
      <c r="D1574" s="3020"/>
      <c r="I1574" s="3021" t="s">
        <v>4269</v>
      </c>
      <c r="J1574" s="2828" t="s">
        <v>5255</v>
      </c>
      <c r="K1574" s="2834"/>
      <c r="L1574" s="2844"/>
      <c r="M1574" s="3022"/>
      <c r="N1574" s="2844"/>
      <c r="O1574" s="3022">
        <v>11</v>
      </c>
      <c r="P1574" s="2848">
        <f>IF(O1574&gt;25,150,(O1574)*6)</f>
        <v>66</v>
      </c>
      <c r="Q1574" s="2850"/>
      <c r="R1574" s="2898">
        <f t="shared" si="60"/>
        <v>66</v>
      </c>
      <c r="S1574" s="2396"/>
      <c r="T1574" s="2871"/>
    </row>
    <row r="1575" spans="4:22" ht="13.5">
      <c r="D1575" s="3020"/>
      <c r="I1575" s="3021" t="s">
        <v>290</v>
      </c>
      <c r="J1575" s="2830" t="s">
        <v>464</v>
      </c>
      <c r="K1575" s="2825"/>
      <c r="L1575" s="2844">
        <f>+K1575*5</f>
        <v>0</v>
      </c>
      <c r="M1575" s="2826"/>
      <c r="N1575" s="2844">
        <f>+M1575*5</f>
        <v>0</v>
      </c>
      <c r="O1575" s="2827"/>
      <c r="P1575" s="2847"/>
      <c r="Q1575" s="2849"/>
      <c r="R1575" s="2852">
        <f t="shared" si="60"/>
        <v>0</v>
      </c>
      <c r="S1575" s="2396"/>
      <c r="T1575" s="2871"/>
    </row>
    <row r="1576" spans="4:22" ht="13.5">
      <c r="D1576" s="3020"/>
      <c r="I1576" s="3021" t="s">
        <v>646</v>
      </c>
      <c r="J1576" s="2828" t="s">
        <v>5318</v>
      </c>
      <c r="K1576" s="2825"/>
      <c r="L1576" s="2844">
        <f>+K1576*3</f>
        <v>0</v>
      </c>
      <c r="M1576" s="3022">
        <v>25</v>
      </c>
      <c r="N1576" s="2844">
        <f>+M1576*3</f>
        <v>75</v>
      </c>
      <c r="O1576" s="3022"/>
      <c r="P1576" s="2848">
        <f t="shared" ref="P1576:P1596" si="61">IF(O1576&gt;25,150,(O1576)*6)</f>
        <v>0</v>
      </c>
      <c r="Q1576" s="2850">
        <v>20</v>
      </c>
      <c r="R1576" s="2898">
        <f t="shared" si="60"/>
        <v>95</v>
      </c>
      <c r="S1576" s="2396"/>
      <c r="T1576" s="2871"/>
    </row>
    <row r="1577" spans="4:22" ht="13.5">
      <c r="D1577" s="3020"/>
      <c r="I1577" s="3021" t="s">
        <v>5217</v>
      </c>
      <c r="J1577" s="2828" t="s">
        <v>5218</v>
      </c>
      <c r="K1577" s="2825"/>
      <c r="L1577" s="2844">
        <v>0</v>
      </c>
      <c r="M1577" s="3022">
        <v>21</v>
      </c>
      <c r="N1577" s="2844">
        <f>+M1577*3</f>
        <v>63</v>
      </c>
      <c r="O1577" s="3022"/>
      <c r="P1577" s="2848">
        <f t="shared" si="61"/>
        <v>0</v>
      </c>
      <c r="Q1577" s="2850">
        <v>20</v>
      </c>
      <c r="R1577" s="2898">
        <f t="shared" si="60"/>
        <v>83</v>
      </c>
      <c r="S1577" s="2396"/>
      <c r="T1577" s="2871"/>
    </row>
    <row r="1578" spans="4:22" ht="13.5">
      <c r="D1578" s="3020"/>
      <c r="I1578" s="3021" t="s">
        <v>416</v>
      </c>
      <c r="J1578" s="2828" t="s">
        <v>5219</v>
      </c>
      <c r="K1578" s="2834"/>
      <c r="L1578" s="2844"/>
      <c r="M1578" s="3022">
        <v>27</v>
      </c>
      <c r="N1578" s="2844">
        <f>+M1578*3</f>
        <v>81</v>
      </c>
      <c r="O1578" s="3022"/>
      <c r="P1578" s="2848">
        <f t="shared" si="61"/>
        <v>0</v>
      </c>
      <c r="Q1578" s="2850"/>
      <c r="R1578" s="2898">
        <f t="shared" si="60"/>
        <v>81</v>
      </c>
      <c r="S1578" s="2396"/>
      <c r="T1578" s="2871"/>
    </row>
    <row r="1579" spans="4:22" ht="13.5">
      <c r="D1579" s="3020"/>
      <c r="I1579" s="3021" t="s">
        <v>5193</v>
      </c>
      <c r="J1579" s="2828" t="s">
        <v>5224</v>
      </c>
      <c r="K1579" s="2834"/>
      <c r="L1579" s="2844"/>
      <c r="M1579" s="3022"/>
      <c r="N1579" s="2844">
        <v>0</v>
      </c>
      <c r="O1579" s="3022">
        <v>33</v>
      </c>
      <c r="P1579" s="2848">
        <f t="shared" si="61"/>
        <v>150</v>
      </c>
      <c r="Q1579" s="2850"/>
      <c r="R1579" s="2898">
        <f t="shared" si="60"/>
        <v>150</v>
      </c>
      <c r="S1579" s="2396"/>
      <c r="T1579" s="2871"/>
    </row>
    <row r="1580" spans="4:22" ht="13.5">
      <c r="D1580" s="3020"/>
      <c r="I1580" s="3021" t="s">
        <v>5128</v>
      </c>
      <c r="J1580" s="2828" t="s">
        <v>5220</v>
      </c>
      <c r="K1580" s="2825"/>
      <c r="L1580" s="2844">
        <v>0</v>
      </c>
      <c r="M1580" s="2826">
        <v>18</v>
      </c>
      <c r="N1580" s="2844">
        <v>0</v>
      </c>
      <c r="O1580" s="3022"/>
      <c r="P1580" s="2848">
        <f t="shared" si="61"/>
        <v>0</v>
      </c>
      <c r="Q1580" s="2850"/>
      <c r="R1580" s="2852">
        <f t="shared" si="60"/>
        <v>0</v>
      </c>
      <c r="S1580" s="2396"/>
      <c r="T1580" s="2871">
        <v>860</v>
      </c>
      <c r="U1580">
        <v>111.8</v>
      </c>
      <c r="V1580">
        <v>748.2</v>
      </c>
    </row>
    <row r="1581" spans="4:22" ht="13.5">
      <c r="D1581" s="3020"/>
      <c r="I1581" s="3021" t="s">
        <v>5118</v>
      </c>
      <c r="J1581" s="2830" t="s">
        <v>5319</v>
      </c>
      <c r="K1581" s="2825"/>
      <c r="L1581" s="2844">
        <f>+K1581*3</f>
        <v>0</v>
      </c>
      <c r="M1581" s="2826">
        <v>23</v>
      </c>
      <c r="N1581" s="2844">
        <f>+M1581*3</f>
        <v>69</v>
      </c>
      <c r="O1581" s="3022"/>
      <c r="P1581" s="2848">
        <f t="shared" si="61"/>
        <v>0</v>
      </c>
      <c r="Q1581" s="2849">
        <v>20</v>
      </c>
      <c r="R1581" s="2898">
        <f t="shared" si="60"/>
        <v>89</v>
      </c>
      <c r="S1581" s="2396"/>
      <c r="T1581" s="2871">
        <f>+U1581+V1581</f>
        <v>827.58620689655174</v>
      </c>
      <c r="U1581">
        <f>+U1580*V1581/V1580</f>
        <v>107.58620689655172</v>
      </c>
      <c r="V1581">
        <v>720</v>
      </c>
    </row>
    <row r="1582" spans="4:22" ht="13.5">
      <c r="D1582" s="3020"/>
      <c r="H1582" s="3024" t="s">
        <v>5362</v>
      </c>
      <c r="I1582" s="3025" t="s">
        <v>929</v>
      </c>
      <c r="J1582" s="3026" t="s">
        <v>5384</v>
      </c>
      <c r="K1582" s="3027"/>
      <c r="L1582" s="3028">
        <f>+K1582*3</f>
        <v>0</v>
      </c>
      <c r="M1582" s="3029">
        <v>23</v>
      </c>
      <c r="N1582" s="3028">
        <f>+M1582*3</f>
        <v>69</v>
      </c>
      <c r="O1582" s="3030"/>
      <c r="P1582" s="3031">
        <f>IF(O1582&gt;25,150,(O1582)*6)</f>
        <v>0</v>
      </c>
      <c r="Q1582" s="3032"/>
      <c r="R1582" s="3034">
        <f>+L1582+N1582+P1582+Q1582</f>
        <v>69</v>
      </c>
      <c r="S1582" s="2396"/>
      <c r="T1582" s="2930">
        <f>+T1580-T1581</f>
        <v>32.413793103448256</v>
      </c>
    </row>
    <row r="1583" spans="4:22" ht="13.5">
      <c r="D1583" s="3020"/>
      <c r="I1583" s="3021" t="s">
        <v>5222</v>
      </c>
      <c r="J1583" s="2828" t="s">
        <v>5223</v>
      </c>
      <c r="K1583" s="2834"/>
      <c r="L1583" s="2844"/>
      <c r="M1583" s="3022"/>
      <c r="N1583" s="2844"/>
      <c r="O1583" s="3022">
        <v>30</v>
      </c>
      <c r="P1583" s="2848">
        <f t="shared" si="61"/>
        <v>150</v>
      </c>
      <c r="Q1583" s="2850"/>
      <c r="R1583" s="2898">
        <f t="shared" si="60"/>
        <v>150</v>
      </c>
      <c r="S1583" s="2396"/>
      <c r="T1583" s="2871">
        <v>150</v>
      </c>
      <c r="U1583" s="2983">
        <f>+T1583-T1582</f>
        <v>117.58620689655174</v>
      </c>
    </row>
    <row r="1584" spans="4:22" ht="13.5">
      <c r="D1584" s="3020"/>
      <c r="I1584" s="3021" t="s">
        <v>5252</v>
      </c>
      <c r="J1584" s="2828" t="s">
        <v>5253</v>
      </c>
      <c r="K1584" s="2825"/>
      <c r="L1584" s="2844">
        <f>+K1584*3</f>
        <v>0</v>
      </c>
      <c r="M1584" s="2826"/>
      <c r="N1584" s="2844">
        <f>+M1584*3</f>
        <v>0</v>
      </c>
      <c r="O1584" s="3022"/>
      <c r="P1584" s="2848">
        <f t="shared" si="61"/>
        <v>0</v>
      </c>
      <c r="Q1584" s="2850"/>
      <c r="R1584" s="2852">
        <f t="shared" si="60"/>
        <v>0</v>
      </c>
      <c r="S1584" s="2396"/>
      <c r="T1584" s="2871"/>
    </row>
    <row r="1585" spans="4:22" ht="13.5">
      <c r="D1585" s="3020"/>
      <c r="I1585" s="3021" t="s">
        <v>799</v>
      </c>
      <c r="J1585" s="2828" t="s">
        <v>5225</v>
      </c>
      <c r="K1585" s="2834"/>
      <c r="L1585" s="2844"/>
      <c r="M1585" s="3022"/>
      <c r="N1585" s="2844"/>
      <c r="O1585" s="3022">
        <v>28</v>
      </c>
      <c r="P1585" s="2848">
        <f t="shared" si="61"/>
        <v>150</v>
      </c>
      <c r="Q1585" s="2850"/>
      <c r="R1585" s="2898">
        <f t="shared" si="60"/>
        <v>150</v>
      </c>
      <c r="S1585" s="2396"/>
      <c r="T1585" s="2871">
        <v>828</v>
      </c>
      <c r="U1585">
        <v>107.64</v>
      </c>
      <c r="V1585">
        <v>720.36</v>
      </c>
    </row>
    <row r="1586" spans="4:22" ht="13.5">
      <c r="D1586" s="3020"/>
      <c r="I1586" s="3021" t="s">
        <v>793</v>
      </c>
      <c r="J1586" s="2828" t="s">
        <v>5226</v>
      </c>
      <c r="K1586" s="2834"/>
      <c r="L1586" s="2844"/>
      <c r="M1586" s="3022"/>
      <c r="N1586" s="2844"/>
      <c r="O1586" s="3022">
        <v>38</v>
      </c>
      <c r="P1586" s="2848">
        <f t="shared" si="61"/>
        <v>150</v>
      </c>
      <c r="Q1586" s="2850"/>
      <c r="R1586" s="2898">
        <f t="shared" si="60"/>
        <v>150</v>
      </c>
      <c r="S1586" s="2396"/>
      <c r="T1586" s="2871">
        <f>+U1586+V1586</f>
        <v>827.58620689655174</v>
      </c>
      <c r="U1586">
        <f>+U1585*V1586/V1585</f>
        <v>107.58620689655173</v>
      </c>
      <c r="V1586">
        <v>720</v>
      </c>
    </row>
    <row r="1587" spans="4:22" ht="13.5">
      <c r="D1587" s="3020"/>
      <c r="I1587" s="3021" t="s">
        <v>5227</v>
      </c>
      <c r="J1587" s="2828" t="s">
        <v>5228</v>
      </c>
      <c r="K1587" s="2834"/>
      <c r="L1587" s="2844"/>
      <c r="M1587" s="3022"/>
      <c r="N1587" s="2844"/>
      <c r="O1587" s="3022">
        <v>30</v>
      </c>
      <c r="P1587" s="2848">
        <f t="shared" si="61"/>
        <v>150</v>
      </c>
      <c r="Q1587" s="2850"/>
      <c r="R1587" s="2898">
        <f t="shared" si="60"/>
        <v>150</v>
      </c>
      <c r="S1587" s="2396"/>
      <c r="T1587" s="2930">
        <f>+T1585-T1586</f>
        <v>0.41379310344825626</v>
      </c>
    </row>
    <row r="1588" spans="4:22" ht="13.5">
      <c r="D1588" s="3020"/>
      <c r="I1588" s="3021" t="s">
        <v>5287</v>
      </c>
      <c r="J1588" s="2828" t="s">
        <v>5288</v>
      </c>
      <c r="K1588" s="2834"/>
      <c r="L1588" s="2844"/>
      <c r="M1588" s="3022"/>
      <c r="N1588" s="2844"/>
      <c r="O1588" s="3022">
        <v>33</v>
      </c>
      <c r="P1588" s="2848">
        <f t="shared" si="61"/>
        <v>150</v>
      </c>
      <c r="Q1588" s="2850"/>
      <c r="R1588" s="2898">
        <f t="shared" si="60"/>
        <v>150</v>
      </c>
      <c r="S1588" s="2396"/>
      <c r="T1588" s="2871">
        <v>150</v>
      </c>
      <c r="U1588" s="2983">
        <f>+T1588-T1587</f>
        <v>149.58620689655174</v>
      </c>
    </row>
    <row r="1589" spans="4:22" ht="13.5">
      <c r="D1589" s="3020"/>
      <c r="I1589" s="3021" t="s">
        <v>5100</v>
      </c>
      <c r="J1589" s="2828" t="s">
        <v>5229</v>
      </c>
      <c r="K1589" s="2834"/>
      <c r="L1589" s="2844"/>
      <c r="M1589" s="3022"/>
      <c r="N1589" s="2844"/>
      <c r="O1589" s="3022">
        <v>39</v>
      </c>
      <c r="P1589" s="2848">
        <f t="shared" si="61"/>
        <v>150</v>
      </c>
      <c r="Q1589" s="2850"/>
      <c r="R1589" s="2898">
        <f t="shared" si="60"/>
        <v>150</v>
      </c>
      <c r="S1589" s="2396"/>
      <c r="T1589" s="2871"/>
    </row>
    <row r="1590" spans="4:22" ht="13.5">
      <c r="D1590" s="3020"/>
      <c r="I1590" s="3021" t="s">
        <v>5230</v>
      </c>
      <c r="J1590" s="2828" t="s">
        <v>5231</v>
      </c>
      <c r="K1590" s="2834"/>
      <c r="L1590" s="2844"/>
      <c r="M1590" s="3022"/>
      <c r="N1590" s="2844"/>
      <c r="O1590" s="3022"/>
      <c r="P1590" s="2848">
        <f t="shared" si="61"/>
        <v>0</v>
      </c>
      <c r="Q1590" s="2850"/>
      <c r="R1590" s="2852">
        <f t="shared" si="60"/>
        <v>0</v>
      </c>
      <c r="S1590" s="2396"/>
      <c r="T1590" s="2973"/>
    </row>
    <row r="1591" spans="4:22" ht="13.5">
      <c r="D1591" s="3020"/>
      <c r="H1591" s="3024" t="s">
        <v>5362</v>
      </c>
      <c r="I1591" s="3025" t="s">
        <v>5120</v>
      </c>
      <c r="J1591" s="3026" t="s">
        <v>3321</v>
      </c>
      <c r="K1591" s="3027"/>
      <c r="L1591" s="3028">
        <f>+K1591*3</f>
        <v>0</v>
      </c>
      <c r="M1591" s="3029"/>
      <c r="N1591" s="3028">
        <v>0</v>
      </c>
      <c r="O1591" s="3030"/>
      <c r="P1591" s="3031">
        <f t="shared" si="61"/>
        <v>0</v>
      </c>
      <c r="Q1591" s="3032"/>
      <c r="R1591" s="3033">
        <f t="shared" si="60"/>
        <v>0</v>
      </c>
      <c r="S1591" s="2396"/>
      <c r="T1591" s="2871"/>
    </row>
    <row r="1592" spans="4:22" ht="13.5">
      <c r="D1592" s="3020"/>
      <c r="I1592" s="3021" t="s">
        <v>5232</v>
      </c>
      <c r="J1592" s="2828" t="s">
        <v>5233</v>
      </c>
      <c r="K1592" s="2834"/>
      <c r="L1592" s="2844"/>
      <c r="M1592" s="3022"/>
      <c r="N1592" s="2844"/>
      <c r="O1592" s="3022">
        <v>35</v>
      </c>
      <c r="P1592" s="2848">
        <f t="shared" si="61"/>
        <v>150</v>
      </c>
      <c r="Q1592" s="2850"/>
      <c r="R1592" s="2898">
        <f t="shared" si="60"/>
        <v>150</v>
      </c>
      <c r="S1592" s="2396"/>
      <c r="T1592" s="2871"/>
    </row>
    <row r="1593" spans="4:22" ht="13.5">
      <c r="D1593" s="3020"/>
      <c r="I1593" s="3021" t="s">
        <v>5194</v>
      </c>
      <c r="J1593" s="2828" t="s">
        <v>5251</v>
      </c>
      <c r="K1593" s="2825"/>
      <c r="L1593" s="2844">
        <v>0</v>
      </c>
      <c r="M1593" s="2826">
        <v>20</v>
      </c>
      <c r="N1593" s="2844">
        <f>+M1593*3</f>
        <v>60</v>
      </c>
      <c r="O1593" s="3022"/>
      <c r="P1593" s="2848">
        <f t="shared" si="61"/>
        <v>0</v>
      </c>
      <c r="Q1593" s="2850"/>
      <c r="R1593" s="2898">
        <f t="shared" si="60"/>
        <v>60</v>
      </c>
      <c r="S1593" s="2396"/>
      <c r="T1593" s="2871"/>
    </row>
    <row r="1594" spans="4:22" ht="13.5">
      <c r="D1594" s="3020"/>
      <c r="I1594" s="3021" t="s">
        <v>5285</v>
      </c>
      <c r="J1594" s="2830" t="s">
        <v>5284</v>
      </c>
      <c r="K1594" s="2825"/>
      <c r="L1594" s="2844">
        <v>0</v>
      </c>
      <c r="M1594" s="2826"/>
      <c r="N1594" s="2844">
        <f>+M1594*3</f>
        <v>0</v>
      </c>
      <c r="O1594" s="2827"/>
      <c r="P1594" s="2848">
        <f t="shared" si="61"/>
        <v>0</v>
      </c>
      <c r="Q1594" s="2849"/>
      <c r="R1594" s="2852">
        <f t="shared" si="60"/>
        <v>0</v>
      </c>
      <c r="S1594" s="2396"/>
      <c r="T1594" s="2871"/>
    </row>
    <row r="1595" spans="4:22" ht="13.5">
      <c r="D1595" s="3020"/>
      <c r="I1595" s="3021" t="s">
        <v>5121</v>
      </c>
      <c r="J1595" s="2830" t="s">
        <v>5122</v>
      </c>
      <c r="K1595" s="2825"/>
      <c r="L1595" s="2844">
        <v>0</v>
      </c>
      <c r="M1595" s="2826"/>
      <c r="N1595" s="2844">
        <f>+M1595*3</f>
        <v>0</v>
      </c>
      <c r="O1595" s="3022">
        <v>38</v>
      </c>
      <c r="P1595" s="2848">
        <f t="shared" si="61"/>
        <v>150</v>
      </c>
      <c r="Q1595" s="2849"/>
      <c r="R1595" s="2852">
        <f t="shared" si="60"/>
        <v>150</v>
      </c>
      <c r="S1595" s="2396"/>
      <c r="T1595" s="2871"/>
    </row>
    <row r="1596" spans="4:22" ht="13.5">
      <c r="D1596" s="3020"/>
      <c r="I1596" s="3021" t="s">
        <v>5235</v>
      </c>
      <c r="J1596" s="2830" t="s">
        <v>5320</v>
      </c>
      <c r="K1596" s="2825"/>
      <c r="L1596" s="2844">
        <v>0</v>
      </c>
      <c r="M1596" s="2826"/>
      <c r="N1596" s="2844">
        <f>+M1596*3</f>
        <v>0</v>
      </c>
      <c r="O1596" s="3022">
        <v>40</v>
      </c>
      <c r="P1596" s="2848">
        <f t="shared" si="61"/>
        <v>150</v>
      </c>
      <c r="Q1596" s="2849"/>
      <c r="R1596" s="2898">
        <f t="shared" si="60"/>
        <v>150</v>
      </c>
      <c r="S1596" s="2396"/>
      <c r="T1596" s="2871"/>
    </row>
    <row r="1597" spans="4:22" ht="13.5">
      <c r="D1597" s="3020"/>
      <c r="I1597" s="3021" t="s">
        <v>5237</v>
      </c>
      <c r="J1597" s="2828" t="s">
        <v>5238</v>
      </c>
      <c r="K1597" s="3021"/>
      <c r="L1597" s="2844">
        <f>+K1597*3</f>
        <v>0</v>
      </c>
      <c r="M1597" s="3022"/>
      <c r="N1597" s="2844"/>
      <c r="O1597" s="3022">
        <v>19</v>
      </c>
      <c r="P1597" s="2848">
        <f t="shared" ref="P1597:P1604" si="62">IF(O1597&gt;25,150,(O1597)*6)</f>
        <v>114</v>
      </c>
      <c r="Q1597" s="2850"/>
      <c r="R1597" s="2898">
        <f t="shared" ref="R1597:R1605" si="63">+L1597+N1597+P1597+Q1597</f>
        <v>114</v>
      </c>
      <c r="S1597" s="2808"/>
      <c r="T1597" s="2871"/>
    </row>
    <row r="1598" spans="4:22" ht="13.5">
      <c r="D1598" s="3020"/>
      <c r="I1598" s="3021" t="s">
        <v>5101</v>
      </c>
      <c r="J1598" s="2828" t="s">
        <v>5289</v>
      </c>
      <c r="K1598" s="2825"/>
      <c r="L1598" s="2844">
        <f>+K1598*3</f>
        <v>0</v>
      </c>
      <c r="M1598" s="2826">
        <v>15</v>
      </c>
      <c r="N1598" s="2844">
        <f>+M1598*3</f>
        <v>45</v>
      </c>
      <c r="O1598" s="3022"/>
      <c r="P1598" s="2848">
        <f t="shared" si="62"/>
        <v>0</v>
      </c>
      <c r="Q1598" s="2850"/>
      <c r="R1598" s="2898">
        <f t="shared" si="63"/>
        <v>45</v>
      </c>
      <c r="S1598" s="2396"/>
      <c r="T1598" s="2871"/>
    </row>
    <row r="1599" spans="4:22" ht="13.5">
      <c r="D1599" s="3020"/>
      <c r="I1599" s="3021" t="s">
        <v>5102</v>
      </c>
      <c r="J1599" s="2830" t="s">
        <v>5098</v>
      </c>
      <c r="K1599" s="2825"/>
      <c r="L1599" s="2844">
        <f>+K1599*3</f>
        <v>0</v>
      </c>
      <c r="M1599" s="2826">
        <v>28</v>
      </c>
      <c r="N1599" s="2844">
        <f>+M1599*3</f>
        <v>84</v>
      </c>
      <c r="O1599" s="3022"/>
      <c r="P1599" s="2847">
        <f t="shared" si="62"/>
        <v>0</v>
      </c>
      <c r="Q1599" s="2849"/>
      <c r="R1599" s="2898">
        <f t="shared" si="63"/>
        <v>84</v>
      </c>
      <c r="S1599" s="2396"/>
      <c r="T1599" s="2871"/>
    </row>
    <row r="1600" spans="4:22" ht="13.5">
      <c r="D1600" s="3020"/>
      <c r="I1600" s="3021" t="s">
        <v>5103</v>
      </c>
      <c r="J1600" s="2828" t="s">
        <v>5240</v>
      </c>
      <c r="K1600" s="2834"/>
      <c r="L1600" s="2844"/>
      <c r="M1600" s="3022"/>
      <c r="N1600" s="2844">
        <f>+M1600*3</f>
        <v>0</v>
      </c>
      <c r="O1600" s="3022"/>
      <c r="P1600" s="2848">
        <f t="shared" si="62"/>
        <v>0</v>
      </c>
      <c r="Q1600" s="2850"/>
      <c r="R1600" s="2852">
        <f t="shared" si="63"/>
        <v>0</v>
      </c>
      <c r="S1600" s="2808"/>
      <c r="T1600" s="2871"/>
    </row>
    <row r="1601" spans="4:22" ht="13.5">
      <c r="D1601" s="3020"/>
      <c r="I1601" s="3021" t="s">
        <v>5324</v>
      </c>
      <c r="J1601" s="2828" t="s">
        <v>5325</v>
      </c>
      <c r="K1601" s="2834"/>
      <c r="L1601" s="2844"/>
      <c r="M1601" s="3022"/>
      <c r="N1601" s="2844"/>
      <c r="O1601" s="3022">
        <v>21</v>
      </c>
      <c r="P1601" s="2848">
        <f t="shared" si="62"/>
        <v>126</v>
      </c>
      <c r="Q1601" s="2850"/>
      <c r="R1601" s="2898">
        <f t="shared" si="63"/>
        <v>126</v>
      </c>
      <c r="S1601" s="2808"/>
      <c r="T1601" s="2871"/>
    </row>
    <row r="1602" spans="4:22" ht="13.5">
      <c r="D1602" s="3020"/>
      <c r="I1602" s="3021" t="s">
        <v>5312</v>
      </c>
      <c r="J1602" s="2828" t="s">
        <v>5313</v>
      </c>
      <c r="K1602" s="2834"/>
      <c r="L1602" s="2844">
        <v>0</v>
      </c>
      <c r="M1602" s="3022"/>
      <c r="N1602" s="2844">
        <f>+M1602*3</f>
        <v>0</v>
      </c>
      <c r="O1602" s="3022"/>
      <c r="P1602" s="2848">
        <f t="shared" si="62"/>
        <v>0</v>
      </c>
      <c r="Q1602" s="2850"/>
      <c r="R1602" s="2852">
        <f t="shared" si="63"/>
        <v>0</v>
      </c>
      <c r="S1602" s="2808"/>
      <c r="T1602" s="2871"/>
    </row>
    <row r="1603" spans="4:22" ht="13.5">
      <c r="D1603" s="3020"/>
      <c r="I1603" s="3021" t="s">
        <v>5375</v>
      </c>
      <c r="J1603" s="2828" t="s">
        <v>5376</v>
      </c>
      <c r="K1603" s="2834"/>
      <c r="L1603" s="2844">
        <v>0</v>
      </c>
      <c r="M1603" s="3022"/>
      <c r="N1603" s="2844">
        <v>0</v>
      </c>
      <c r="O1603" s="3022">
        <v>15</v>
      </c>
      <c r="P1603" s="2848">
        <f t="shared" si="62"/>
        <v>90</v>
      </c>
      <c r="Q1603" s="2850"/>
      <c r="R1603" s="2898">
        <f t="shared" si="63"/>
        <v>90</v>
      </c>
      <c r="S1603" s="2808"/>
      <c r="T1603" s="2871"/>
    </row>
    <row r="1604" spans="4:22" ht="13.5">
      <c r="D1604" s="3020"/>
      <c r="I1604" s="2837" t="s">
        <v>5377</v>
      </c>
      <c r="J1604" s="2880" t="s">
        <v>5378</v>
      </c>
      <c r="K1604" s="2881"/>
      <c r="L1604" s="2882">
        <v>0</v>
      </c>
      <c r="M1604" s="2883">
        <v>11</v>
      </c>
      <c r="N1604" s="2882">
        <v>0</v>
      </c>
      <c r="O1604" s="2972"/>
      <c r="P1604" s="2885">
        <f t="shared" si="62"/>
        <v>0</v>
      </c>
      <c r="Q1604" s="2886"/>
      <c r="R1604" s="2853">
        <f t="shared" si="63"/>
        <v>0</v>
      </c>
      <c r="S1604" s="2396"/>
      <c r="T1604" s="2871"/>
    </row>
    <row r="1605" spans="4:22" ht="13.5">
      <c r="D1605" s="3020"/>
      <c r="I1605" s="2839"/>
      <c r="J1605" s="2840"/>
      <c r="K1605" s="2963">
        <f t="shared" ref="K1605:Q1605" si="64">SUM(K1571:K1604)</f>
        <v>0</v>
      </c>
      <c r="L1605" s="2964">
        <f t="shared" si="64"/>
        <v>0</v>
      </c>
      <c r="M1605" s="2877">
        <f t="shared" si="64"/>
        <v>273</v>
      </c>
      <c r="N1605" s="2879">
        <f t="shared" si="64"/>
        <v>687</v>
      </c>
      <c r="O1605" s="2877">
        <f t="shared" si="64"/>
        <v>410</v>
      </c>
      <c r="P1605" s="2879">
        <f t="shared" si="64"/>
        <v>1896</v>
      </c>
      <c r="Q1605" s="2879">
        <f t="shared" si="64"/>
        <v>60</v>
      </c>
      <c r="R1605" s="2878">
        <f t="shared" si="63"/>
        <v>2643</v>
      </c>
      <c r="S1605" s="96"/>
      <c r="T1605" s="2871"/>
    </row>
    <row r="1606" spans="4:22">
      <c r="D1606" s="3020"/>
    </row>
    <row r="1607" spans="4:22">
      <c r="D1607" s="3020"/>
      <c r="N1607" s="1866"/>
      <c r="R1607" s="68">
        <f>+R1605-R1595-R1582</f>
        <v>2424</v>
      </c>
    </row>
    <row r="1608" spans="4:22">
      <c r="D1608" s="3020"/>
    </row>
    <row r="1609" spans="4:22">
      <c r="D1609" s="3035"/>
    </row>
    <row r="1610" spans="4:22" ht="13.5">
      <c r="D1610" s="3035"/>
      <c r="I1610" s="3830" t="s">
        <v>5389</v>
      </c>
      <c r="J1610" s="3830"/>
      <c r="K1610" s="3830"/>
      <c r="L1610" s="3830"/>
      <c r="M1610" s="3830"/>
      <c r="N1610" s="3830"/>
      <c r="O1610" s="3830"/>
      <c r="P1610" s="3830"/>
      <c r="Q1610" s="3830"/>
      <c r="R1610" s="3830"/>
      <c r="T1610" s="2873"/>
    </row>
    <row r="1611" spans="4:22" ht="13.5">
      <c r="D1611" s="3035"/>
      <c r="I1611" s="2821"/>
      <c r="J1611" s="2821"/>
      <c r="K1611" s="3831" t="s">
        <v>5286</v>
      </c>
      <c r="L1611" s="3832"/>
      <c r="M1611" s="3832"/>
      <c r="N1611" s="3833"/>
      <c r="O1611" s="3832" t="s">
        <v>4643</v>
      </c>
      <c r="P1611" s="3833"/>
      <c r="Q1611" s="2821"/>
      <c r="R1611" s="2821"/>
      <c r="T1611" s="2873"/>
    </row>
    <row r="1612" spans="4:22" ht="40.5">
      <c r="D1612" s="3035"/>
      <c r="I1612" s="2841" t="s">
        <v>1600</v>
      </c>
      <c r="J1612" s="2841" t="s">
        <v>2067</v>
      </c>
      <c r="K1612" s="2953" t="s">
        <v>5131</v>
      </c>
      <c r="L1612" s="2953" t="s">
        <v>5342</v>
      </c>
      <c r="M1612" s="2822" t="s">
        <v>5131</v>
      </c>
      <c r="N1612" s="2822" t="s">
        <v>5392</v>
      </c>
      <c r="O1612" s="2822" t="s">
        <v>5131</v>
      </c>
      <c r="P1612" s="2822" t="s">
        <v>5391</v>
      </c>
      <c r="Q1612" s="2822" t="s">
        <v>5390</v>
      </c>
      <c r="R1612" s="2842" t="s">
        <v>5294</v>
      </c>
      <c r="T1612" s="2873"/>
    </row>
    <row r="1613" spans="4:22" ht="13.5">
      <c r="D1613" s="3035"/>
      <c r="I1613" s="2823" t="s">
        <v>5281</v>
      </c>
      <c r="J1613" s="2824" t="s">
        <v>5280</v>
      </c>
      <c r="K1613" s="2825"/>
      <c r="L1613" s="2846">
        <f>+K1613*3</f>
        <v>0</v>
      </c>
      <c r="M1613" s="2826">
        <v>6</v>
      </c>
      <c r="N1613" s="2844">
        <v>0</v>
      </c>
      <c r="O1613" s="2827"/>
      <c r="P1613" s="2847"/>
      <c r="Q1613" s="2849"/>
      <c r="R1613" s="3047">
        <f>+L1613+N1613+P1613+Q1613</f>
        <v>0</v>
      </c>
      <c r="S1613" s="2396"/>
      <c r="T1613" s="2871"/>
    </row>
    <row r="1614" spans="4:22" ht="13.5">
      <c r="D1614" s="3035"/>
      <c r="I1614" s="3036" t="s">
        <v>3050</v>
      </c>
      <c r="J1614" s="2830" t="s">
        <v>5095</v>
      </c>
      <c r="K1614" s="2825"/>
      <c r="L1614" s="2844">
        <f>+K1614*3</f>
        <v>0</v>
      </c>
      <c r="M1614" s="2826"/>
      <c r="N1614" s="2844">
        <v>0</v>
      </c>
      <c r="O1614" s="2827"/>
      <c r="P1614" s="2847"/>
      <c r="Q1614" s="2849"/>
      <c r="R1614" s="3048">
        <f t="shared" ref="R1614:R1638" si="65">+L1614+N1614+P1614+Q1614</f>
        <v>0</v>
      </c>
      <c r="S1614" s="2396"/>
    </row>
    <row r="1615" spans="4:22" ht="13.5">
      <c r="D1615" s="3035"/>
      <c r="I1615" s="3036" t="s">
        <v>706</v>
      </c>
      <c r="J1615" s="2828" t="s">
        <v>5254</v>
      </c>
      <c r="K1615" s="2825"/>
      <c r="L1615" s="2844">
        <f>+K1615*3</f>
        <v>0</v>
      </c>
      <c r="M1615" s="2826">
        <v>8</v>
      </c>
      <c r="N1615" s="2844">
        <v>0</v>
      </c>
      <c r="O1615" s="3037"/>
      <c r="P1615" s="2848">
        <f>IF(O1615&gt;25,150,(O1615)*6)</f>
        <v>0</v>
      </c>
      <c r="Q1615" s="2850">
        <v>10</v>
      </c>
      <c r="R1615" s="3049">
        <f t="shared" si="65"/>
        <v>10</v>
      </c>
      <c r="S1615" s="2396"/>
      <c r="T1615" s="2871"/>
      <c r="U1615" s="3828">
        <v>43144</v>
      </c>
      <c r="V1615" s="3829"/>
    </row>
    <row r="1616" spans="4:22" ht="13.5">
      <c r="D1616" s="3035"/>
      <c r="I1616" s="3056" t="s">
        <v>4269</v>
      </c>
      <c r="J1616" s="3064" t="s">
        <v>5255</v>
      </c>
      <c r="K1616" s="3058"/>
      <c r="L1616" s="3059"/>
      <c r="M1616" s="3060"/>
      <c r="N1616" s="3059"/>
      <c r="O1616" s="3060">
        <f>24+8</f>
        <v>32</v>
      </c>
      <c r="P1616" s="3061">
        <f>IF(O1616&gt;25,150,(O1616)*6)</f>
        <v>150</v>
      </c>
      <c r="Q1616" s="3054"/>
      <c r="R1616" s="3055">
        <f t="shared" si="65"/>
        <v>150</v>
      </c>
      <c r="S1616" s="2396"/>
      <c r="T1616" s="2871"/>
    </row>
    <row r="1617" spans="4:22" ht="13.5">
      <c r="D1617" s="3035"/>
      <c r="I1617" s="3036" t="s">
        <v>290</v>
      </c>
      <c r="J1617" s="2830" t="s">
        <v>464</v>
      </c>
      <c r="K1617" s="2825"/>
      <c r="L1617" s="2844">
        <f>+K1617*5</f>
        <v>0</v>
      </c>
      <c r="M1617" s="2826">
        <v>8</v>
      </c>
      <c r="N1617" s="2844">
        <v>0</v>
      </c>
      <c r="O1617" s="2827"/>
      <c r="P1617" s="2847"/>
      <c r="Q1617" s="2849">
        <v>10</v>
      </c>
      <c r="R1617" s="3048">
        <f t="shared" si="65"/>
        <v>10</v>
      </c>
      <c r="S1617" s="2396"/>
      <c r="T1617" s="2871"/>
    </row>
    <row r="1618" spans="4:22" ht="13.5">
      <c r="D1618" s="3035"/>
      <c r="I1618" s="3036" t="s">
        <v>646</v>
      </c>
      <c r="J1618" s="2828" t="s">
        <v>5318</v>
      </c>
      <c r="K1618" s="2825"/>
      <c r="L1618" s="2844">
        <f>+K1618*3</f>
        <v>0</v>
      </c>
      <c r="M1618" s="3037">
        <v>8</v>
      </c>
      <c r="N1618" s="2844">
        <v>0</v>
      </c>
      <c r="O1618" s="3037"/>
      <c r="P1618" s="2848">
        <f t="shared" ref="P1618:P1638" si="66">IF(O1618&gt;25,150,(O1618)*6)</f>
        <v>0</v>
      </c>
      <c r="Q1618" s="2850"/>
      <c r="R1618" s="3049">
        <f t="shared" si="65"/>
        <v>0</v>
      </c>
      <c r="S1618" s="2396"/>
      <c r="T1618" s="2871"/>
    </row>
    <row r="1619" spans="4:22" ht="13.5">
      <c r="D1619" s="3035"/>
      <c r="I1619" s="3036" t="s">
        <v>5217</v>
      </c>
      <c r="J1619" s="2828" t="s">
        <v>5218</v>
      </c>
      <c r="K1619" s="2825"/>
      <c r="L1619" s="2844">
        <v>0</v>
      </c>
      <c r="M1619" s="3037">
        <v>8</v>
      </c>
      <c r="N1619" s="2844">
        <v>0</v>
      </c>
      <c r="O1619" s="3037"/>
      <c r="P1619" s="2848">
        <f t="shared" si="66"/>
        <v>0</v>
      </c>
      <c r="Q1619" s="2850">
        <v>10</v>
      </c>
      <c r="R1619" s="3049">
        <f t="shared" si="65"/>
        <v>10</v>
      </c>
      <c r="S1619" s="2396"/>
      <c r="T1619" s="2871"/>
    </row>
    <row r="1620" spans="4:22" ht="13.5">
      <c r="D1620" s="3035"/>
      <c r="I1620" s="3036" t="s">
        <v>416</v>
      </c>
      <c r="J1620" s="2828" t="s">
        <v>5219</v>
      </c>
      <c r="K1620" s="2834"/>
      <c r="L1620" s="2844"/>
      <c r="M1620" s="3037">
        <v>8</v>
      </c>
      <c r="N1620" s="2844">
        <v>0</v>
      </c>
      <c r="O1620" s="3037"/>
      <c r="P1620" s="2848">
        <f t="shared" si="66"/>
        <v>0</v>
      </c>
      <c r="Q1620" s="2850">
        <v>10</v>
      </c>
      <c r="R1620" s="3049">
        <f t="shared" si="65"/>
        <v>10</v>
      </c>
      <c r="S1620" s="2396"/>
      <c r="T1620" s="2871"/>
    </row>
    <row r="1621" spans="4:22" ht="13.5">
      <c r="D1621" s="3035"/>
      <c r="I1621" s="3036" t="s">
        <v>5193</v>
      </c>
      <c r="J1621" s="2828" t="s">
        <v>5224</v>
      </c>
      <c r="K1621" s="2834"/>
      <c r="L1621" s="2844"/>
      <c r="M1621" s="3037"/>
      <c r="N1621" s="2844">
        <v>0</v>
      </c>
      <c r="O1621" s="3037">
        <v>25</v>
      </c>
      <c r="P1621" s="2848">
        <f t="shared" si="66"/>
        <v>150</v>
      </c>
      <c r="Q1621" s="2850"/>
      <c r="R1621" s="3049">
        <f t="shared" si="65"/>
        <v>150</v>
      </c>
      <c r="S1621" s="2396"/>
      <c r="T1621" s="2871"/>
    </row>
    <row r="1622" spans="4:22" ht="13.5">
      <c r="D1622" s="3035"/>
      <c r="I1622" s="3036" t="s">
        <v>5128</v>
      </c>
      <c r="J1622" s="2828" t="s">
        <v>5220</v>
      </c>
      <c r="K1622" s="2825"/>
      <c r="L1622" s="2844">
        <v>0</v>
      </c>
      <c r="M1622" s="2826">
        <v>6</v>
      </c>
      <c r="N1622" s="2844">
        <v>0</v>
      </c>
      <c r="O1622" s="3037"/>
      <c r="P1622" s="2848">
        <f t="shared" si="66"/>
        <v>0</v>
      </c>
      <c r="Q1622" s="2850"/>
      <c r="R1622" s="3048">
        <f t="shared" si="65"/>
        <v>0</v>
      </c>
      <c r="S1622" s="2396" t="s">
        <v>5393</v>
      </c>
      <c r="T1622" s="2871">
        <v>860</v>
      </c>
      <c r="U1622">
        <v>111.8</v>
      </c>
      <c r="V1622">
        <v>748.2</v>
      </c>
    </row>
    <row r="1623" spans="4:22" ht="13.5">
      <c r="D1623" s="3035"/>
      <c r="I1623" s="3036" t="s">
        <v>5118</v>
      </c>
      <c r="J1623" s="2830" t="s">
        <v>5319</v>
      </c>
      <c r="K1623" s="2825"/>
      <c r="L1623" s="2844">
        <f>+K1623*3</f>
        <v>0</v>
      </c>
      <c r="M1623" s="2826">
        <v>7</v>
      </c>
      <c r="N1623" s="2844">
        <v>0</v>
      </c>
      <c r="O1623" s="3037"/>
      <c r="P1623" s="2848">
        <f t="shared" si="66"/>
        <v>0</v>
      </c>
      <c r="Q1623" s="2849">
        <v>10</v>
      </c>
      <c r="R1623" s="3049">
        <f t="shared" si="65"/>
        <v>10</v>
      </c>
      <c r="S1623" s="2396"/>
      <c r="T1623" s="2871">
        <f>+U1623+V1623</f>
        <v>827.58620689655174</v>
      </c>
      <c r="U1623">
        <f>+U1622*V1623/V1622</f>
        <v>107.58620689655172</v>
      </c>
      <c r="V1623">
        <v>720</v>
      </c>
    </row>
    <row r="1624" spans="4:22" ht="13.5">
      <c r="D1624" s="3035"/>
      <c r="H1624" s="3024" t="s">
        <v>5362</v>
      </c>
      <c r="I1624" s="3025" t="s">
        <v>929</v>
      </c>
      <c r="J1624" s="3026" t="s">
        <v>5384</v>
      </c>
      <c r="K1624" s="3027"/>
      <c r="L1624" s="3028">
        <f>+K1624*3</f>
        <v>0</v>
      </c>
      <c r="M1624" s="3029"/>
      <c r="N1624" s="3028">
        <f>+M1624*3</f>
        <v>0</v>
      </c>
      <c r="O1624" s="3030">
        <v>34</v>
      </c>
      <c r="P1624" s="3031">
        <f t="shared" si="66"/>
        <v>150</v>
      </c>
      <c r="Q1624" s="3032"/>
      <c r="R1624" s="3034">
        <f t="shared" si="65"/>
        <v>150</v>
      </c>
      <c r="S1624" s="2396"/>
      <c r="T1624" s="2930">
        <f>+T1622-T1623</f>
        <v>32.413793103448256</v>
      </c>
    </row>
    <row r="1625" spans="4:22" ht="13.5">
      <c r="D1625" s="3035"/>
      <c r="I1625" s="3036" t="s">
        <v>5222</v>
      </c>
      <c r="J1625" s="2828" t="s">
        <v>5223</v>
      </c>
      <c r="K1625" s="2834"/>
      <c r="L1625" s="2844"/>
      <c r="M1625" s="3037"/>
      <c r="N1625" s="2844"/>
      <c r="O1625" s="3037">
        <v>29</v>
      </c>
      <c r="P1625" s="2848">
        <f t="shared" si="66"/>
        <v>150</v>
      </c>
      <c r="Q1625" s="2850"/>
      <c r="R1625" s="3049">
        <f t="shared" si="65"/>
        <v>150</v>
      </c>
      <c r="S1625" s="2396"/>
      <c r="T1625" s="2871">
        <v>150</v>
      </c>
      <c r="U1625" s="2983">
        <f>+T1625-T1624</f>
        <v>117.58620689655174</v>
      </c>
    </row>
    <row r="1626" spans="4:22" ht="13.5">
      <c r="D1626" s="3035"/>
      <c r="I1626" s="3036" t="s">
        <v>5252</v>
      </c>
      <c r="J1626" s="2828" t="s">
        <v>5253</v>
      </c>
      <c r="K1626" s="2825"/>
      <c r="L1626" s="2844">
        <f>+K1626*3</f>
        <v>0</v>
      </c>
      <c r="M1626" s="2826"/>
      <c r="N1626" s="2844">
        <f>+M1626*3</f>
        <v>0</v>
      </c>
      <c r="O1626" s="3037"/>
      <c r="P1626" s="2848">
        <f t="shared" si="66"/>
        <v>0</v>
      </c>
      <c r="Q1626" s="2850"/>
      <c r="R1626" s="3048">
        <f t="shared" si="65"/>
        <v>0</v>
      </c>
      <c r="S1626" s="2396"/>
      <c r="T1626" s="2871"/>
    </row>
    <row r="1627" spans="4:22" ht="13.5">
      <c r="D1627" s="3035"/>
      <c r="I1627" s="3056" t="s">
        <v>799</v>
      </c>
      <c r="J1627" s="3064" t="s">
        <v>5225</v>
      </c>
      <c r="K1627" s="3058"/>
      <c r="L1627" s="3059"/>
      <c r="M1627" s="3060"/>
      <c r="N1627" s="3059"/>
      <c r="O1627" s="3060">
        <f>18+6</f>
        <v>24</v>
      </c>
      <c r="P1627" s="3061">
        <f t="shared" si="66"/>
        <v>144</v>
      </c>
      <c r="Q1627" s="3054"/>
      <c r="R1627" s="3055">
        <f t="shared" si="65"/>
        <v>144</v>
      </c>
      <c r="S1627" s="2396"/>
      <c r="T1627" s="2871">
        <v>828</v>
      </c>
      <c r="U1627">
        <v>107.64</v>
      </c>
      <c r="V1627">
        <v>720.36</v>
      </c>
    </row>
    <row r="1628" spans="4:22" ht="13.5">
      <c r="D1628" s="3035"/>
      <c r="I1628" s="3036" t="s">
        <v>793</v>
      </c>
      <c r="J1628" s="2828" t="s">
        <v>5226</v>
      </c>
      <c r="K1628" s="2834"/>
      <c r="L1628" s="2844"/>
      <c r="M1628" s="3037"/>
      <c r="N1628" s="2844"/>
      <c r="O1628" s="3037">
        <v>33</v>
      </c>
      <c r="P1628" s="2848">
        <f t="shared" si="66"/>
        <v>150</v>
      </c>
      <c r="Q1628" s="2850"/>
      <c r="R1628" s="3049">
        <f t="shared" si="65"/>
        <v>150</v>
      </c>
      <c r="S1628" s="2396"/>
      <c r="T1628" s="2871">
        <f>+U1628+V1628</f>
        <v>827.58620689655174</v>
      </c>
      <c r="U1628">
        <f>+U1627*V1628/V1627</f>
        <v>107.58620689655173</v>
      </c>
      <c r="V1628">
        <v>720</v>
      </c>
    </row>
    <row r="1629" spans="4:22" ht="13.5">
      <c r="D1629" s="3035"/>
      <c r="I1629" s="3036" t="s">
        <v>5227</v>
      </c>
      <c r="J1629" s="2828" t="s">
        <v>5228</v>
      </c>
      <c r="K1629" s="2834"/>
      <c r="L1629" s="2844"/>
      <c r="M1629" s="3037"/>
      <c r="N1629" s="2844"/>
      <c r="O1629" s="3037"/>
      <c r="P1629" s="2848">
        <f t="shared" si="66"/>
        <v>0</v>
      </c>
      <c r="Q1629" s="2850"/>
      <c r="R1629" s="3049">
        <f t="shared" si="65"/>
        <v>0</v>
      </c>
      <c r="S1629" s="2396"/>
      <c r="T1629" s="2930">
        <f>+T1627-T1628</f>
        <v>0.41379310344825626</v>
      </c>
    </row>
    <row r="1630" spans="4:22" ht="13.5">
      <c r="D1630" s="3035"/>
      <c r="I1630" s="3036" t="s">
        <v>5287</v>
      </c>
      <c r="J1630" s="2828" t="s">
        <v>5288</v>
      </c>
      <c r="K1630" s="2834"/>
      <c r="L1630" s="2844"/>
      <c r="M1630" s="3037"/>
      <c r="N1630" s="2844"/>
      <c r="O1630" s="3037">
        <v>33</v>
      </c>
      <c r="P1630" s="2848">
        <f t="shared" si="66"/>
        <v>150</v>
      </c>
      <c r="Q1630" s="2850"/>
      <c r="R1630" s="3049">
        <f t="shared" si="65"/>
        <v>150</v>
      </c>
      <c r="S1630" s="2396"/>
      <c r="T1630" s="2871">
        <v>150</v>
      </c>
      <c r="U1630" s="2983">
        <f>+T1630-T1629</f>
        <v>149.58620689655174</v>
      </c>
    </row>
    <row r="1631" spans="4:22" ht="13.5">
      <c r="D1631" s="3035"/>
      <c r="I1631" s="3036" t="s">
        <v>5100</v>
      </c>
      <c r="J1631" s="2828" t="s">
        <v>5229</v>
      </c>
      <c r="K1631" s="2834"/>
      <c r="L1631" s="2844"/>
      <c r="M1631" s="3037"/>
      <c r="N1631" s="2844"/>
      <c r="O1631" s="3037">
        <v>28</v>
      </c>
      <c r="P1631" s="2848">
        <f t="shared" si="66"/>
        <v>150</v>
      </c>
      <c r="Q1631" s="2850"/>
      <c r="R1631" s="3049">
        <f t="shared" si="65"/>
        <v>150</v>
      </c>
      <c r="S1631" s="2396"/>
      <c r="T1631" s="2871"/>
    </row>
    <row r="1632" spans="4:22" ht="13.5">
      <c r="D1632" s="3035"/>
      <c r="I1632" s="3036" t="s">
        <v>5230</v>
      </c>
      <c r="J1632" s="2828" t="s">
        <v>5231</v>
      </c>
      <c r="K1632" s="2834"/>
      <c r="L1632" s="2844"/>
      <c r="M1632" s="3037"/>
      <c r="N1632" s="2844"/>
      <c r="O1632" s="3037"/>
      <c r="P1632" s="2848">
        <f t="shared" si="66"/>
        <v>0</v>
      </c>
      <c r="Q1632" s="2850"/>
      <c r="R1632" s="3048">
        <f t="shared" si="65"/>
        <v>0</v>
      </c>
      <c r="S1632" s="2396"/>
      <c r="T1632" s="2973"/>
    </row>
    <row r="1633" spans="4:22" ht="13.5">
      <c r="D1633" s="3035"/>
      <c r="H1633" s="3024" t="s">
        <v>5362</v>
      </c>
      <c r="I1633" s="3025" t="s">
        <v>5120</v>
      </c>
      <c r="J1633" s="3026" t="s">
        <v>3321</v>
      </c>
      <c r="K1633" s="3027"/>
      <c r="L1633" s="3028">
        <f>+K1633*3</f>
        <v>0</v>
      </c>
      <c r="M1633" s="3029"/>
      <c r="N1633" s="3028">
        <v>0</v>
      </c>
      <c r="O1633" s="3030"/>
      <c r="P1633" s="3031">
        <f t="shared" si="66"/>
        <v>0</v>
      </c>
      <c r="Q1633" s="3032"/>
      <c r="R1633" s="3050">
        <f t="shared" si="65"/>
        <v>0</v>
      </c>
      <c r="S1633" s="2396"/>
      <c r="T1633" s="2871"/>
      <c r="V1633">
        <f>+U1636</f>
        <v>24</v>
      </c>
    </row>
    <row r="1634" spans="4:22" ht="13.5">
      <c r="D1634" s="3035"/>
      <c r="I1634" s="3036" t="s">
        <v>5232</v>
      </c>
      <c r="J1634" s="2828" t="s">
        <v>5233</v>
      </c>
      <c r="K1634" s="2834"/>
      <c r="L1634" s="2844"/>
      <c r="M1634" s="3037"/>
      <c r="N1634" s="2844"/>
      <c r="O1634" s="3037">
        <v>26</v>
      </c>
      <c r="P1634" s="2848">
        <f t="shared" si="66"/>
        <v>150</v>
      </c>
      <c r="Q1634" s="2850"/>
      <c r="R1634" s="3049">
        <f t="shared" si="65"/>
        <v>150</v>
      </c>
      <c r="S1634" s="2396"/>
      <c r="T1634" s="2871"/>
      <c r="U1634">
        <v>16</v>
      </c>
      <c r="V1634">
        <v>6</v>
      </c>
    </row>
    <row r="1635" spans="4:22" ht="13.5">
      <c r="D1635" s="3035"/>
      <c r="I1635" s="3036" t="s">
        <v>5194</v>
      </c>
      <c r="J1635" s="2828" t="s">
        <v>5251</v>
      </c>
      <c r="K1635" s="2825"/>
      <c r="L1635" s="2844">
        <v>0</v>
      </c>
      <c r="M1635" s="2826">
        <v>8</v>
      </c>
      <c r="N1635" s="2844">
        <v>0</v>
      </c>
      <c r="O1635" s="3037"/>
      <c r="P1635" s="2848">
        <f t="shared" si="66"/>
        <v>0</v>
      </c>
      <c r="Q1635" s="2850">
        <v>10</v>
      </c>
      <c r="R1635" s="3049">
        <f t="shared" si="65"/>
        <v>10</v>
      </c>
      <c r="S1635" s="2396"/>
      <c r="T1635" s="2871"/>
      <c r="U1635">
        <v>8</v>
      </c>
      <c r="V1635">
        <f>+V1633*V1634</f>
        <v>144</v>
      </c>
    </row>
    <row r="1636" spans="4:22" ht="13.5">
      <c r="D1636" s="3035"/>
      <c r="I1636" s="3036" t="s">
        <v>5285</v>
      </c>
      <c r="J1636" s="2830" t="s">
        <v>5284</v>
      </c>
      <c r="K1636" s="2825"/>
      <c r="L1636" s="2844">
        <v>0</v>
      </c>
      <c r="M1636" s="2826"/>
      <c r="N1636" s="2844">
        <f>+M1636*3</f>
        <v>0</v>
      </c>
      <c r="O1636" s="2827"/>
      <c r="P1636" s="2848">
        <f t="shared" si="66"/>
        <v>0</v>
      </c>
      <c r="Q1636" s="2849"/>
      <c r="R1636" s="3048">
        <f t="shared" si="65"/>
        <v>0</v>
      </c>
      <c r="S1636" s="2396"/>
      <c r="T1636" s="2871"/>
      <c r="U1636">
        <f>+U1635+U1634+U1633</f>
        <v>24</v>
      </c>
    </row>
    <row r="1637" spans="4:22" ht="13.5">
      <c r="D1637" s="3035"/>
      <c r="I1637" s="3036" t="s">
        <v>5121</v>
      </c>
      <c r="J1637" s="2830" t="s">
        <v>5122</v>
      </c>
      <c r="K1637" s="2825"/>
      <c r="L1637" s="2844">
        <v>0</v>
      </c>
      <c r="M1637" s="2826"/>
      <c r="N1637" s="2844">
        <f>+M1637*3</f>
        <v>0</v>
      </c>
      <c r="O1637" s="3037">
        <v>34</v>
      </c>
      <c r="P1637" s="2848">
        <f t="shared" si="66"/>
        <v>150</v>
      </c>
      <c r="Q1637" s="2849"/>
      <c r="R1637" s="2852">
        <f t="shared" si="65"/>
        <v>150</v>
      </c>
      <c r="S1637" s="2396" t="s">
        <v>5393</v>
      </c>
      <c r="T1637" s="2871"/>
    </row>
    <row r="1638" spans="4:22" ht="13.5">
      <c r="D1638" s="3035"/>
      <c r="I1638" s="3036" t="s">
        <v>5235</v>
      </c>
      <c r="J1638" s="2830" t="s">
        <v>5320</v>
      </c>
      <c r="K1638" s="2825"/>
      <c r="L1638" s="2844">
        <v>0</v>
      </c>
      <c r="M1638" s="2826"/>
      <c r="N1638" s="2844">
        <f>+M1638*3</f>
        <v>0</v>
      </c>
      <c r="O1638" s="3037">
        <v>32</v>
      </c>
      <c r="P1638" s="2848">
        <f t="shared" si="66"/>
        <v>150</v>
      </c>
      <c r="Q1638" s="2849"/>
      <c r="R1638" s="3049">
        <f t="shared" si="65"/>
        <v>150</v>
      </c>
      <c r="S1638" s="2396"/>
      <c r="T1638" s="2871"/>
    </row>
    <row r="1639" spans="4:22" ht="13.5">
      <c r="D1639" s="3035"/>
      <c r="I1639" s="3036" t="s">
        <v>5237</v>
      </c>
      <c r="J1639" s="2828" t="s">
        <v>5238</v>
      </c>
      <c r="K1639" s="3036"/>
      <c r="L1639" s="2844">
        <f>+K1639*3</f>
        <v>0</v>
      </c>
      <c r="M1639" s="3037">
        <v>5</v>
      </c>
      <c r="N1639" s="2844">
        <v>0</v>
      </c>
      <c r="O1639" s="3037"/>
      <c r="P1639" s="2848">
        <f t="shared" ref="P1639:P1646" si="67">IF(O1639&gt;25,150,(O1639)*6)</f>
        <v>0</v>
      </c>
      <c r="Q1639" s="2850"/>
      <c r="R1639" s="3049">
        <f t="shared" ref="R1639:R1647" si="68">+L1639+N1639+P1639+Q1639</f>
        <v>0</v>
      </c>
      <c r="S1639" s="2808"/>
      <c r="T1639" s="2871"/>
    </row>
    <row r="1640" spans="4:22" ht="13.5">
      <c r="D1640" s="3035"/>
      <c r="I1640" s="3056" t="s">
        <v>5101</v>
      </c>
      <c r="J1640" s="3064" t="s">
        <v>5289</v>
      </c>
      <c r="K1640" s="3062"/>
      <c r="L1640" s="3059">
        <f>+K1640*3</f>
        <v>0</v>
      </c>
      <c r="M1640" s="3063">
        <v>9</v>
      </c>
      <c r="N1640" s="3059">
        <v>0</v>
      </c>
      <c r="O1640" s="3060">
        <f>3+3</f>
        <v>6</v>
      </c>
      <c r="P1640" s="3061">
        <f t="shared" si="67"/>
        <v>36</v>
      </c>
      <c r="Q1640" s="3054">
        <v>10</v>
      </c>
      <c r="R1640" s="3055">
        <f t="shared" si="68"/>
        <v>46</v>
      </c>
      <c r="S1640" s="2396"/>
      <c r="T1640" s="2871"/>
    </row>
    <row r="1641" spans="4:22" ht="13.5">
      <c r="D1641" s="3035"/>
      <c r="I1641" s="3036" t="s">
        <v>5102</v>
      </c>
      <c r="J1641" s="2830" t="s">
        <v>5098</v>
      </c>
      <c r="K1641" s="2825"/>
      <c r="L1641" s="2844">
        <f>+K1641*3</f>
        <v>0</v>
      </c>
      <c r="M1641" s="2826">
        <v>8</v>
      </c>
      <c r="N1641" s="2844">
        <v>0</v>
      </c>
      <c r="O1641" s="3037"/>
      <c r="P1641" s="2847">
        <f t="shared" si="67"/>
        <v>0</v>
      </c>
      <c r="Q1641" s="2849">
        <v>10</v>
      </c>
      <c r="R1641" s="3049">
        <f t="shared" si="68"/>
        <v>10</v>
      </c>
      <c r="S1641" s="2396"/>
      <c r="T1641" s="2871"/>
    </row>
    <row r="1642" spans="4:22" ht="13.5">
      <c r="D1642" s="3035"/>
      <c r="I1642" s="3036" t="s">
        <v>5103</v>
      </c>
      <c r="J1642" s="2828" t="s">
        <v>5240</v>
      </c>
      <c r="K1642" s="2834"/>
      <c r="L1642" s="2844"/>
      <c r="M1642" s="3037"/>
      <c r="N1642" s="2844">
        <f>+M1642*3</f>
        <v>0</v>
      </c>
      <c r="O1642" s="3037"/>
      <c r="P1642" s="2848">
        <f t="shared" si="67"/>
        <v>0</v>
      </c>
      <c r="Q1642" s="2850"/>
      <c r="R1642" s="3048">
        <f t="shared" si="68"/>
        <v>0</v>
      </c>
      <c r="S1642" s="2808"/>
      <c r="T1642" s="2871"/>
    </row>
    <row r="1643" spans="4:22" ht="13.5">
      <c r="D1643" s="3035"/>
      <c r="I1643" s="3056" t="s">
        <v>5324</v>
      </c>
      <c r="J1643" s="3064" t="s">
        <v>5325</v>
      </c>
      <c r="K1643" s="3058"/>
      <c r="L1643" s="3059"/>
      <c r="M1643" s="3060"/>
      <c r="N1643" s="3059"/>
      <c r="O1643" s="3060">
        <f>22+7</f>
        <v>29</v>
      </c>
      <c r="P1643" s="3061">
        <f t="shared" si="67"/>
        <v>150</v>
      </c>
      <c r="Q1643" s="3054"/>
      <c r="R1643" s="3055">
        <f t="shared" si="68"/>
        <v>150</v>
      </c>
      <c r="S1643" s="2808"/>
      <c r="T1643" s="2871"/>
    </row>
    <row r="1644" spans="4:22" ht="13.5">
      <c r="D1644" s="3035"/>
      <c r="I1644" s="3056" t="s">
        <v>5312</v>
      </c>
      <c r="J1644" s="3057" t="s">
        <v>5313</v>
      </c>
      <c r="K1644" s="3058"/>
      <c r="L1644" s="3059">
        <v>0</v>
      </c>
      <c r="M1644" s="3060"/>
      <c r="N1644" s="3059">
        <f>+M1644*3</f>
        <v>0</v>
      </c>
      <c r="O1644" s="3060">
        <f>21+7</f>
        <v>28</v>
      </c>
      <c r="P1644" s="3061">
        <f t="shared" si="67"/>
        <v>150</v>
      </c>
      <c r="Q1644" s="3065"/>
      <c r="R1644" s="3055">
        <f t="shared" si="68"/>
        <v>150</v>
      </c>
      <c r="S1644" s="2808"/>
      <c r="T1644" s="2871"/>
    </row>
    <row r="1645" spans="4:22" ht="13.5">
      <c r="D1645" s="3035"/>
      <c r="I1645" s="3036" t="s">
        <v>5375</v>
      </c>
      <c r="J1645" s="2828" t="s">
        <v>5376</v>
      </c>
      <c r="K1645" s="2834"/>
      <c r="L1645" s="2844">
        <v>0</v>
      </c>
      <c r="M1645" s="3037"/>
      <c r="N1645" s="2844">
        <v>0</v>
      </c>
      <c r="O1645" s="3037">
        <v>27</v>
      </c>
      <c r="P1645" s="2848">
        <f t="shared" si="67"/>
        <v>150</v>
      </c>
      <c r="Q1645" s="2850"/>
      <c r="R1645" s="3049">
        <f t="shared" si="68"/>
        <v>150</v>
      </c>
      <c r="S1645" s="2808"/>
      <c r="T1645" s="2871"/>
    </row>
    <row r="1646" spans="4:22" ht="13.5">
      <c r="D1646" s="3035"/>
      <c r="I1646" s="2837" t="s">
        <v>5377</v>
      </c>
      <c r="J1646" s="2880" t="s">
        <v>5378</v>
      </c>
      <c r="K1646" s="2881"/>
      <c r="L1646" s="2882">
        <v>0</v>
      </c>
      <c r="M1646" s="2883">
        <v>7</v>
      </c>
      <c r="N1646" s="2882">
        <v>0</v>
      </c>
      <c r="O1646" s="2972"/>
      <c r="P1646" s="2885">
        <f t="shared" si="67"/>
        <v>0</v>
      </c>
      <c r="Q1646" s="2886">
        <v>10</v>
      </c>
      <c r="R1646" s="3051">
        <f t="shared" si="68"/>
        <v>10</v>
      </c>
      <c r="S1646" s="2396"/>
      <c r="T1646" s="2871"/>
    </row>
    <row r="1647" spans="4:22" ht="13.5">
      <c r="D1647" s="3035"/>
      <c r="I1647" s="2839"/>
      <c r="J1647" s="2840"/>
      <c r="K1647" s="2963">
        <f t="shared" ref="K1647:Q1647" si="69">SUM(K1613:K1646)</f>
        <v>0</v>
      </c>
      <c r="L1647" s="2964">
        <f t="shared" si="69"/>
        <v>0</v>
      </c>
      <c r="M1647" s="2877">
        <f t="shared" si="69"/>
        <v>96</v>
      </c>
      <c r="N1647" s="2879">
        <f t="shared" si="69"/>
        <v>0</v>
      </c>
      <c r="O1647" s="2877">
        <f t="shared" si="69"/>
        <v>420</v>
      </c>
      <c r="P1647" s="2879">
        <f t="shared" si="69"/>
        <v>2130</v>
      </c>
      <c r="Q1647" s="2879">
        <f t="shared" si="69"/>
        <v>90</v>
      </c>
      <c r="R1647" s="2878">
        <f t="shared" si="68"/>
        <v>2220</v>
      </c>
      <c r="S1647" s="96"/>
      <c r="T1647" s="2871"/>
    </row>
    <row r="1648" spans="4:22">
      <c r="D1648" s="3035"/>
      <c r="N1648" s="1098" t="s">
        <v>5395</v>
      </c>
      <c r="O1648" s="3052">
        <v>62</v>
      </c>
    </row>
    <row r="1649" spans="4:22">
      <c r="D1649" s="3035"/>
      <c r="N1649" s="3067" t="s">
        <v>5394</v>
      </c>
      <c r="O1649" s="3066">
        <f>+O1648+O1647</f>
        <v>482</v>
      </c>
      <c r="R1649" s="68">
        <f>+R1647-R1637-R1622-R1624</f>
        <v>1920</v>
      </c>
    </row>
    <row r="1650" spans="4:22">
      <c r="D1650" s="3035"/>
    </row>
    <row r="1651" spans="4:22" ht="13.5">
      <c r="I1651" s="3830" t="s">
        <v>5397</v>
      </c>
      <c r="J1651" s="3830"/>
      <c r="K1651" s="3830"/>
      <c r="L1651" s="3830"/>
      <c r="M1651" s="3830"/>
      <c r="N1651" s="3830"/>
      <c r="O1651" s="3830"/>
      <c r="P1651" s="3830"/>
      <c r="Q1651" s="3830"/>
      <c r="R1651" s="3830"/>
      <c r="T1651" s="2873"/>
    </row>
    <row r="1652" spans="4:22" ht="13.5">
      <c r="I1652" s="2821"/>
      <c r="J1652" s="2821"/>
      <c r="K1652" s="3831" t="s">
        <v>5286</v>
      </c>
      <c r="L1652" s="3832"/>
      <c r="M1652" s="3832"/>
      <c r="N1652" s="3833"/>
      <c r="O1652" s="3832" t="s">
        <v>4643</v>
      </c>
      <c r="P1652" s="3833"/>
      <c r="Q1652" s="2821"/>
      <c r="R1652" s="2821"/>
      <c r="T1652" s="2873"/>
    </row>
    <row r="1653" spans="4:22" ht="40.5">
      <c r="I1653" s="2841" t="s">
        <v>1600</v>
      </c>
      <c r="J1653" s="2841" t="s">
        <v>2067</v>
      </c>
      <c r="K1653" s="2953" t="s">
        <v>5131</v>
      </c>
      <c r="L1653" s="2953" t="s">
        <v>5342</v>
      </c>
      <c r="M1653" s="2953" t="s">
        <v>5131</v>
      </c>
      <c r="N1653" s="2953" t="s">
        <v>5342</v>
      </c>
      <c r="O1653" s="2822" t="s">
        <v>5131</v>
      </c>
      <c r="P1653" s="2822" t="s">
        <v>5398</v>
      </c>
      <c r="Q1653" s="2822" t="s">
        <v>5399</v>
      </c>
      <c r="R1653" s="2842" t="s">
        <v>5294</v>
      </c>
      <c r="T1653" s="2873"/>
    </row>
    <row r="1654" spans="4:22" ht="13.5">
      <c r="I1654" s="2823" t="s">
        <v>5281</v>
      </c>
      <c r="J1654" s="2824" t="s">
        <v>5280</v>
      </c>
      <c r="K1654" s="2825"/>
      <c r="L1654" s="2846">
        <f>+K1654*3</f>
        <v>0</v>
      </c>
      <c r="M1654" s="2826"/>
      <c r="N1654" s="2844">
        <v>0</v>
      </c>
      <c r="O1654" s="2827"/>
      <c r="P1654" s="2847"/>
      <c r="Q1654" s="2849"/>
      <c r="R1654" s="3047">
        <f>+L1654+N1654+P1654+Q1654</f>
        <v>0</v>
      </c>
      <c r="S1654" s="2396"/>
      <c r="T1654" s="2871"/>
    </row>
    <row r="1655" spans="4:22" ht="13.5">
      <c r="I1655" s="3070" t="s">
        <v>3050</v>
      </c>
      <c r="J1655" s="2830" t="s">
        <v>5095</v>
      </c>
      <c r="K1655" s="2825"/>
      <c r="L1655" s="2844">
        <f>+K1655*3</f>
        <v>0</v>
      </c>
      <c r="M1655" s="2826"/>
      <c r="N1655" s="2844">
        <v>0</v>
      </c>
      <c r="O1655" s="2827"/>
      <c r="P1655" s="2847"/>
      <c r="Q1655" s="2849"/>
      <c r="R1655" s="3048">
        <f t="shared" ref="R1655:R1679" si="70">+L1655+N1655+P1655+Q1655</f>
        <v>0</v>
      </c>
      <c r="S1655" s="2396"/>
    </row>
    <row r="1656" spans="4:22" ht="13.5">
      <c r="I1656" s="3070" t="s">
        <v>706</v>
      </c>
      <c r="J1656" s="2828" t="s">
        <v>5254</v>
      </c>
      <c r="K1656" s="2825"/>
      <c r="L1656" s="2844">
        <f>+K1656*3</f>
        <v>0</v>
      </c>
      <c r="M1656" s="2826"/>
      <c r="N1656" s="2844">
        <v>0</v>
      </c>
      <c r="O1656" s="3071">
        <v>23</v>
      </c>
      <c r="P1656" s="2848">
        <f>IF(O1656&gt;25,150,(O1656)*6)</f>
        <v>138</v>
      </c>
      <c r="Q1656" s="2850"/>
      <c r="R1656" s="3049">
        <f t="shared" si="70"/>
        <v>138</v>
      </c>
      <c r="S1656" s="2396"/>
      <c r="T1656" s="2871"/>
      <c r="U1656" s="3828">
        <v>43152</v>
      </c>
      <c r="V1656" s="3829"/>
    </row>
    <row r="1657" spans="4:22" ht="13.5">
      <c r="I1657" s="3072" t="s">
        <v>4269</v>
      </c>
      <c r="J1657" s="3073" t="s">
        <v>5255</v>
      </c>
      <c r="K1657" s="3074"/>
      <c r="L1657" s="3075"/>
      <c r="M1657" s="3076"/>
      <c r="N1657" s="3075"/>
      <c r="O1657" s="3076">
        <v>39</v>
      </c>
      <c r="P1657" s="2848">
        <f>IF(O1657&gt;25,150,(O1657)*6)</f>
        <v>150</v>
      </c>
      <c r="Q1657" s="2850"/>
      <c r="R1657" s="3081">
        <f t="shared" si="70"/>
        <v>150</v>
      </c>
      <c r="S1657" s="2396"/>
      <c r="T1657" s="2871"/>
    </row>
    <row r="1658" spans="4:22" ht="13.5">
      <c r="I1658" s="3070" t="s">
        <v>290</v>
      </c>
      <c r="J1658" s="2830" t="s">
        <v>464</v>
      </c>
      <c r="K1658" s="2825"/>
      <c r="L1658" s="2844">
        <f>+K1658*5</f>
        <v>0</v>
      </c>
      <c r="M1658" s="2826"/>
      <c r="N1658" s="2844">
        <v>0</v>
      </c>
      <c r="O1658" s="2827"/>
      <c r="P1658" s="2847"/>
      <c r="Q1658" s="2849"/>
      <c r="R1658" s="3048">
        <v>1.0000000000000001E-37</v>
      </c>
      <c r="S1658" s="2396"/>
      <c r="T1658" s="2871"/>
    </row>
    <row r="1659" spans="4:22" ht="13.5">
      <c r="I1659" s="3070" t="s">
        <v>646</v>
      </c>
      <c r="J1659" s="2828" t="s">
        <v>5318</v>
      </c>
      <c r="K1659" s="2825"/>
      <c r="L1659" s="2844">
        <f>+K1659*3</f>
        <v>0</v>
      </c>
      <c r="M1659" s="3071"/>
      <c r="N1659" s="2844">
        <v>0</v>
      </c>
      <c r="O1659" s="3071">
        <v>30</v>
      </c>
      <c r="P1659" s="2848">
        <f t="shared" ref="P1659:P1679" si="71">IF(O1659&gt;25,150,(O1659)*6)</f>
        <v>150</v>
      </c>
      <c r="Q1659" s="2850"/>
      <c r="R1659" s="3049">
        <f t="shared" si="70"/>
        <v>150</v>
      </c>
      <c r="S1659" s="2396"/>
      <c r="T1659" s="2871"/>
    </row>
    <row r="1660" spans="4:22" ht="13.5">
      <c r="I1660" s="3070" t="s">
        <v>5217</v>
      </c>
      <c r="J1660" s="2828" t="s">
        <v>5218</v>
      </c>
      <c r="K1660" s="2825"/>
      <c r="L1660" s="2844">
        <v>0</v>
      </c>
      <c r="M1660" s="3071"/>
      <c r="N1660" s="2844">
        <v>0</v>
      </c>
      <c r="O1660" s="3071"/>
      <c r="P1660" s="2848">
        <f t="shared" si="71"/>
        <v>0</v>
      </c>
      <c r="Q1660" s="2850"/>
      <c r="R1660" s="3048">
        <f t="shared" si="70"/>
        <v>0</v>
      </c>
      <c r="S1660" s="2396"/>
      <c r="T1660" s="2871"/>
    </row>
    <row r="1661" spans="4:22" ht="13.5">
      <c r="I1661" s="3070" t="s">
        <v>416</v>
      </c>
      <c r="J1661" s="2828" t="s">
        <v>5219</v>
      </c>
      <c r="K1661" s="2834"/>
      <c r="L1661" s="2844"/>
      <c r="M1661" s="3071"/>
      <c r="N1661" s="2844">
        <v>0</v>
      </c>
      <c r="O1661" s="3071">
        <v>29</v>
      </c>
      <c r="P1661" s="2848">
        <f t="shared" si="71"/>
        <v>150</v>
      </c>
      <c r="Q1661" s="2850"/>
      <c r="R1661" s="3049">
        <f t="shared" si="70"/>
        <v>150</v>
      </c>
      <c r="S1661" s="2396"/>
      <c r="T1661" s="2871"/>
    </row>
    <row r="1662" spans="4:22" ht="13.5">
      <c r="I1662" s="3070" t="s">
        <v>5193</v>
      </c>
      <c r="J1662" s="2828" t="s">
        <v>5224</v>
      </c>
      <c r="K1662" s="2834"/>
      <c r="L1662" s="2844"/>
      <c r="M1662" s="3071"/>
      <c r="N1662" s="2844">
        <v>0</v>
      </c>
      <c r="O1662" s="3071">
        <v>33</v>
      </c>
      <c r="P1662" s="2848">
        <f t="shared" si="71"/>
        <v>150</v>
      </c>
      <c r="Q1662" s="2850"/>
      <c r="R1662" s="3049">
        <f t="shared" si="70"/>
        <v>150</v>
      </c>
      <c r="S1662" s="2396"/>
      <c r="T1662" s="2871"/>
    </row>
    <row r="1663" spans="4:22" ht="13.5">
      <c r="I1663" s="2832" t="s">
        <v>5128</v>
      </c>
      <c r="J1663" s="2833" t="s">
        <v>5220</v>
      </c>
      <c r="K1663" s="2892"/>
      <c r="L1663" s="2893">
        <v>0</v>
      </c>
      <c r="M1663" s="2894"/>
      <c r="N1663" s="2893">
        <v>0</v>
      </c>
      <c r="O1663" s="2905">
        <v>23</v>
      </c>
      <c r="P1663" s="2906">
        <f t="shared" si="71"/>
        <v>138</v>
      </c>
      <c r="Q1663" s="2907"/>
      <c r="R1663" s="2898">
        <f t="shared" si="70"/>
        <v>138</v>
      </c>
      <c r="S1663" s="3080" t="s">
        <v>5400</v>
      </c>
      <c r="T1663" s="2871">
        <v>860</v>
      </c>
      <c r="U1663">
        <v>111.8</v>
      </c>
      <c r="V1663">
        <v>748.2</v>
      </c>
    </row>
    <row r="1664" spans="4:22" ht="13.5">
      <c r="I1664" s="3070" t="s">
        <v>5118</v>
      </c>
      <c r="J1664" s="2830" t="s">
        <v>5319</v>
      </c>
      <c r="K1664" s="2825"/>
      <c r="L1664" s="2844">
        <f>+K1664*3</f>
        <v>0</v>
      </c>
      <c r="M1664" s="2826"/>
      <c r="N1664" s="2844">
        <v>0</v>
      </c>
      <c r="O1664" s="3071"/>
      <c r="P1664" s="2848">
        <f t="shared" si="71"/>
        <v>0</v>
      </c>
      <c r="Q1664" s="2849"/>
      <c r="R1664" s="3048">
        <f t="shared" si="70"/>
        <v>0</v>
      </c>
      <c r="S1664" s="2396"/>
      <c r="T1664" s="2871">
        <f>+U1664+V1664</f>
        <v>827.58620689655174</v>
      </c>
      <c r="U1664">
        <f>+U1663*V1664/V1663</f>
        <v>107.58620689655172</v>
      </c>
      <c r="V1664">
        <v>720</v>
      </c>
    </row>
    <row r="1665" spans="8:22" ht="13.5">
      <c r="H1665" s="3024" t="s">
        <v>5362</v>
      </c>
      <c r="I1665" s="3025" t="s">
        <v>929</v>
      </c>
      <c r="J1665" s="3026" t="s">
        <v>5384</v>
      </c>
      <c r="K1665" s="3027"/>
      <c r="L1665" s="3028">
        <f>+K1665*3</f>
        <v>0</v>
      </c>
      <c r="M1665" s="3029"/>
      <c r="N1665" s="3028">
        <f>+M1665*3</f>
        <v>0</v>
      </c>
      <c r="O1665" s="3030">
        <v>14</v>
      </c>
      <c r="P1665" s="3031">
        <f t="shared" si="71"/>
        <v>84</v>
      </c>
      <c r="Q1665" s="3032"/>
      <c r="R1665" s="3034">
        <f t="shared" si="70"/>
        <v>84</v>
      </c>
      <c r="S1665" s="2396"/>
      <c r="T1665" s="2930">
        <f>+T1663-T1664</f>
        <v>32.413793103448256</v>
      </c>
    </row>
    <row r="1666" spans="8:22" ht="13.5">
      <c r="I1666" s="3070" t="s">
        <v>5222</v>
      </c>
      <c r="J1666" s="2828" t="s">
        <v>5223</v>
      </c>
      <c r="K1666" s="2834"/>
      <c r="L1666" s="2844"/>
      <c r="M1666" s="3071"/>
      <c r="N1666" s="2844"/>
      <c r="O1666" s="3071"/>
      <c r="P1666" s="2848">
        <f t="shared" si="71"/>
        <v>0</v>
      </c>
      <c r="Q1666" s="2850"/>
      <c r="R1666" s="3048">
        <f t="shared" si="70"/>
        <v>0</v>
      </c>
      <c r="S1666" s="2396"/>
      <c r="T1666" s="2871">
        <v>150</v>
      </c>
      <c r="U1666" s="2983">
        <f>+T1666-T1665</f>
        <v>117.58620689655174</v>
      </c>
    </row>
    <row r="1667" spans="8:22" ht="13.5">
      <c r="I1667" s="3070" t="s">
        <v>5252</v>
      </c>
      <c r="J1667" s="2828" t="s">
        <v>5253</v>
      </c>
      <c r="K1667" s="2825"/>
      <c r="L1667" s="2844">
        <f>+K1667*3</f>
        <v>0</v>
      </c>
      <c r="M1667" s="2826"/>
      <c r="N1667" s="2844">
        <f>+M1667*3</f>
        <v>0</v>
      </c>
      <c r="O1667" s="3071"/>
      <c r="P1667" s="2848">
        <f t="shared" si="71"/>
        <v>0</v>
      </c>
      <c r="Q1667" s="2850"/>
      <c r="R1667" s="3048">
        <f t="shared" si="70"/>
        <v>0</v>
      </c>
      <c r="S1667" s="2396"/>
      <c r="T1667" s="2871"/>
    </row>
    <row r="1668" spans="8:22" ht="13.5">
      <c r="I1668" s="3072" t="s">
        <v>799</v>
      </c>
      <c r="J1668" s="3073" t="s">
        <v>5225</v>
      </c>
      <c r="K1668" s="3074"/>
      <c r="L1668" s="3075"/>
      <c r="M1668" s="3076"/>
      <c r="N1668" s="3075"/>
      <c r="O1668" s="3076">
        <v>27</v>
      </c>
      <c r="P1668" s="2848">
        <f t="shared" si="71"/>
        <v>150</v>
      </c>
      <c r="Q1668" s="2850"/>
      <c r="R1668" s="3081">
        <f t="shared" si="70"/>
        <v>150</v>
      </c>
      <c r="S1668" s="2396"/>
      <c r="T1668" s="2871">
        <v>828</v>
      </c>
      <c r="U1668">
        <v>107.64</v>
      </c>
      <c r="V1668">
        <v>720.36</v>
      </c>
    </row>
    <row r="1669" spans="8:22" ht="13.5">
      <c r="I1669" s="3070" t="s">
        <v>793</v>
      </c>
      <c r="J1669" s="2828" t="s">
        <v>5226</v>
      </c>
      <c r="K1669" s="2834"/>
      <c r="L1669" s="2844"/>
      <c r="M1669" s="3071"/>
      <c r="N1669" s="2844"/>
      <c r="O1669" s="3071">
        <v>37</v>
      </c>
      <c r="P1669" s="2848">
        <f t="shared" si="71"/>
        <v>150</v>
      </c>
      <c r="Q1669" s="2850"/>
      <c r="R1669" s="3049">
        <f t="shared" si="70"/>
        <v>150</v>
      </c>
      <c r="S1669" s="2396"/>
      <c r="T1669" s="2871">
        <f>+U1669+V1669</f>
        <v>827.58620689655174</v>
      </c>
      <c r="U1669">
        <f>+U1668*V1669/V1668</f>
        <v>107.58620689655173</v>
      </c>
      <c r="V1669">
        <v>720</v>
      </c>
    </row>
    <row r="1670" spans="8:22" ht="13.5">
      <c r="I1670" s="3070" t="s">
        <v>5227</v>
      </c>
      <c r="J1670" s="2828" t="s">
        <v>5228</v>
      </c>
      <c r="K1670" s="2834"/>
      <c r="L1670" s="2844"/>
      <c r="M1670" s="3071"/>
      <c r="N1670" s="2844"/>
      <c r="O1670" s="3071"/>
      <c r="P1670" s="2848">
        <f t="shared" si="71"/>
        <v>0</v>
      </c>
      <c r="Q1670" s="2850"/>
      <c r="R1670" s="3048">
        <f t="shared" si="70"/>
        <v>0</v>
      </c>
      <c r="S1670" s="2396"/>
      <c r="T1670" s="2930">
        <f>+T1668-T1669</f>
        <v>0.41379310344825626</v>
      </c>
    </row>
    <row r="1671" spans="8:22" ht="13.5">
      <c r="I1671" s="3070" t="s">
        <v>5287</v>
      </c>
      <c r="J1671" s="2828" t="s">
        <v>5288</v>
      </c>
      <c r="K1671" s="2834"/>
      <c r="L1671" s="2844"/>
      <c r="M1671" s="3071"/>
      <c r="N1671" s="2844"/>
      <c r="O1671" s="3071">
        <v>26</v>
      </c>
      <c r="P1671" s="2848">
        <f t="shared" si="71"/>
        <v>150</v>
      </c>
      <c r="Q1671" s="2850"/>
      <c r="R1671" s="3049">
        <f t="shared" si="70"/>
        <v>150</v>
      </c>
      <c r="S1671" s="2396"/>
      <c r="T1671" s="2871">
        <v>150</v>
      </c>
      <c r="U1671" s="2983">
        <f>+T1671-T1670</f>
        <v>149.58620689655174</v>
      </c>
    </row>
    <row r="1672" spans="8:22" ht="13.5">
      <c r="I1672" s="3070" t="s">
        <v>5100</v>
      </c>
      <c r="J1672" s="2828" t="s">
        <v>5229</v>
      </c>
      <c r="K1672" s="2834"/>
      <c r="L1672" s="2844"/>
      <c r="M1672" s="3071"/>
      <c r="N1672" s="2844"/>
      <c r="O1672" s="3071"/>
      <c r="P1672" s="2848">
        <f t="shared" si="71"/>
        <v>0</v>
      </c>
      <c r="Q1672" s="2850"/>
      <c r="R1672" s="3048">
        <f t="shared" si="70"/>
        <v>0</v>
      </c>
      <c r="S1672" s="2396"/>
      <c r="T1672" s="2871"/>
    </row>
    <row r="1673" spans="8:22" ht="13.5">
      <c r="I1673" s="3070" t="s">
        <v>5230</v>
      </c>
      <c r="J1673" s="2828" t="s">
        <v>5231</v>
      </c>
      <c r="K1673" s="2834"/>
      <c r="L1673" s="2844"/>
      <c r="M1673" s="3071"/>
      <c r="N1673" s="2844"/>
      <c r="O1673" s="3071"/>
      <c r="P1673" s="2848">
        <f t="shared" si="71"/>
        <v>0</v>
      </c>
      <c r="Q1673" s="2850"/>
      <c r="R1673" s="3048">
        <f t="shared" si="70"/>
        <v>0</v>
      </c>
      <c r="S1673" s="2396"/>
      <c r="T1673" s="2973"/>
    </row>
    <row r="1674" spans="8:22" ht="13.5">
      <c r="H1674" s="3024" t="s">
        <v>5362</v>
      </c>
      <c r="I1674" s="3025" t="s">
        <v>5120</v>
      </c>
      <c r="J1674" s="3026" t="s">
        <v>3321</v>
      </c>
      <c r="K1674" s="3027"/>
      <c r="L1674" s="3028">
        <f>+K1674*3</f>
        <v>0</v>
      </c>
      <c r="M1674" s="3029"/>
      <c r="N1674" s="3028">
        <v>0</v>
      </c>
      <c r="O1674" s="3030"/>
      <c r="P1674" s="3031">
        <f t="shared" si="71"/>
        <v>0</v>
      </c>
      <c r="Q1674" s="3032"/>
      <c r="R1674" s="3050">
        <f t="shared" si="70"/>
        <v>0</v>
      </c>
      <c r="S1674" s="2396"/>
      <c r="T1674" s="2871"/>
      <c r="V1674">
        <f>+U1677</f>
        <v>24</v>
      </c>
    </row>
    <row r="1675" spans="8:22" ht="13.5">
      <c r="I1675" s="3070" t="s">
        <v>5232</v>
      </c>
      <c r="J1675" s="2828" t="s">
        <v>5233</v>
      </c>
      <c r="K1675" s="2834"/>
      <c r="L1675" s="2844"/>
      <c r="M1675" s="3071"/>
      <c r="N1675" s="2844"/>
      <c r="O1675" s="3071"/>
      <c r="P1675" s="2848">
        <f t="shared" si="71"/>
        <v>0</v>
      </c>
      <c r="Q1675" s="2850"/>
      <c r="R1675" s="3048">
        <f t="shared" si="70"/>
        <v>0</v>
      </c>
      <c r="S1675" s="2396"/>
      <c r="T1675" s="2871"/>
      <c r="U1675">
        <v>16</v>
      </c>
      <c r="V1675">
        <v>6</v>
      </c>
    </row>
    <row r="1676" spans="8:22" ht="13.5">
      <c r="I1676" s="3070" t="s">
        <v>5194</v>
      </c>
      <c r="J1676" s="2828" t="s">
        <v>5251</v>
      </c>
      <c r="K1676" s="2825"/>
      <c r="L1676" s="2844">
        <v>0</v>
      </c>
      <c r="M1676" s="2826"/>
      <c r="N1676" s="2844">
        <v>0</v>
      </c>
      <c r="O1676" s="3071">
        <v>27</v>
      </c>
      <c r="P1676" s="2848">
        <f t="shared" si="71"/>
        <v>150</v>
      </c>
      <c r="Q1676" s="2850"/>
      <c r="R1676" s="3049">
        <f t="shared" si="70"/>
        <v>150</v>
      </c>
      <c r="S1676" s="2396"/>
      <c r="T1676" s="2871"/>
      <c r="U1676">
        <v>8</v>
      </c>
      <c r="V1676">
        <f>+V1674*V1675</f>
        <v>144</v>
      </c>
    </row>
    <row r="1677" spans="8:22" ht="13.5">
      <c r="I1677" s="3070" t="s">
        <v>5285</v>
      </c>
      <c r="J1677" s="2830" t="s">
        <v>5284</v>
      </c>
      <c r="K1677" s="2825"/>
      <c r="L1677" s="2844">
        <v>0</v>
      </c>
      <c r="M1677" s="2826"/>
      <c r="N1677" s="2844">
        <f>+M1677*3</f>
        <v>0</v>
      </c>
      <c r="O1677" s="2827"/>
      <c r="P1677" s="2848">
        <f t="shared" si="71"/>
        <v>0</v>
      </c>
      <c r="Q1677" s="2849"/>
      <c r="R1677" s="3048">
        <f t="shared" si="70"/>
        <v>0</v>
      </c>
      <c r="S1677" s="2396"/>
      <c r="T1677" s="2871"/>
      <c r="U1677">
        <f>+U1676+U1675+U1674</f>
        <v>24</v>
      </c>
    </row>
    <row r="1678" spans="8:22" ht="13.5">
      <c r="I1678" s="2832" t="s">
        <v>5121</v>
      </c>
      <c r="J1678" s="2836" t="s">
        <v>5122</v>
      </c>
      <c r="K1678" s="2892"/>
      <c r="L1678" s="2893">
        <v>0</v>
      </c>
      <c r="M1678" s="2894"/>
      <c r="N1678" s="2893">
        <f>+M1678*3</f>
        <v>0</v>
      </c>
      <c r="O1678" s="2905">
        <v>33</v>
      </c>
      <c r="P1678" s="2906">
        <f t="shared" si="71"/>
        <v>150</v>
      </c>
      <c r="Q1678" s="2897"/>
      <c r="R1678" s="2898">
        <f t="shared" si="70"/>
        <v>150</v>
      </c>
      <c r="S1678" s="2890" t="s">
        <v>5400</v>
      </c>
      <c r="T1678" s="2871"/>
    </row>
    <row r="1679" spans="8:22" ht="13.5">
      <c r="I1679" s="3070" t="s">
        <v>5235</v>
      </c>
      <c r="J1679" s="2830" t="s">
        <v>5320</v>
      </c>
      <c r="K1679" s="2825"/>
      <c r="L1679" s="2844">
        <v>0</v>
      </c>
      <c r="M1679" s="2826"/>
      <c r="N1679" s="2844">
        <f>+M1679*3</f>
        <v>0</v>
      </c>
      <c r="O1679" s="3071">
        <v>3</v>
      </c>
      <c r="P1679" s="2848">
        <f t="shared" si="71"/>
        <v>18</v>
      </c>
      <c r="Q1679" s="2849"/>
      <c r="R1679" s="3049">
        <f t="shared" si="70"/>
        <v>18</v>
      </c>
      <c r="S1679" s="2396"/>
      <c r="T1679" s="2871"/>
    </row>
    <row r="1680" spans="8:22" ht="13.5">
      <c r="I1680" s="3070" t="s">
        <v>5237</v>
      </c>
      <c r="J1680" s="2828" t="s">
        <v>5238</v>
      </c>
      <c r="K1680" s="3070"/>
      <c r="L1680" s="2844">
        <f>+K1680*3</f>
        <v>0</v>
      </c>
      <c r="M1680" s="3071"/>
      <c r="N1680" s="2844">
        <v>0</v>
      </c>
      <c r="O1680" s="3071"/>
      <c r="P1680" s="2848">
        <f t="shared" ref="P1680:P1687" si="72">IF(O1680&gt;25,150,(O1680)*6)</f>
        <v>0</v>
      </c>
      <c r="Q1680" s="2850"/>
      <c r="R1680" s="3048">
        <f t="shared" ref="R1680:R1688" si="73">+L1680+N1680+P1680+Q1680</f>
        <v>0</v>
      </c>
      <c r="S1680" s="2808"/>
      <c r="T1680" s="2871"/>
    </row>
    <row r="1681" spans="4:22" ht="13.5">
      <c r="I1681" s="3072" t="s">
        <v>5101</v>
      </c>
      <c r="J1681" s="3073" t="s">
        <v>5289</v>
      </c>
      <c r="K1681" s="3078"/>
      <c r="L1681" s="3075">
        <f>+K1681*3</f>
        <v>0</v>
      </c>
      <c r="M1681" s="3079"/>
      <c r="N1681" s="3075">
        <v>0</v>
      </c>
      <c r="O1681" s="3076">
        <v>35</v>
      </c>
      <c r="P1681" s="2848">
        <f t="shared" si="72"/>
        <v>150</v>
      </c>
      <c r="Q1681" s="2850"/>
      <c r="R1681" s="3081">
        <f t="shared" si="73"/>
        <v>150</v>
      </c>
      <c r="S1681" s="2396"/>
      <c r="T1681" s="2871"/>
    </row>
    <row r="1682" spans="4:22" ht="13.5">
      <c r="I1682" s="3070" t="s">
        <v>5102</v>
      </c>
      <c r="J1682" s="2830" t="s">
        <v>5098</v>
      </c>
      <c r="K1682" s="2825"/>
      <c r="L1682" s="2844">
        <f>+K1682*3</f>
        <v>0</v>
      </c>
      <c r="M1682" s="2826"/>
      <c r="N1682" s="2844">
        <v>0</v>
      </c>
      <c r="O1682" s="3071"/>
      <c r="P1682" s="2847">
        <f t="shared" si="72"/>
        <v>0</v>
      </c>
      <c r="Q1682" s="2849"/>
      <c r="R1682" s="3048">
        <f t="shared" si="73"/>
        <v>0</v>
      </c>
      <c r="S1682" s="2396"/>
      <c r="T1682" s="2871"/>
    </row>
    <row r="1683" spans="4:22" ht="13.5">
      <c r="I1683" s="3070" t="s">
        <v>5103</v>
      </c>
      <c r="J1683" s="2828" t="s">
        <v>5240</v>
      </c>
      <c r="K1683" s="2834"/>
      <c r="L1683" s="2844"/>
      <c r="M1683" s="3071"/>
      <c r="N1683" s="2844">
        <f>+M1683*3</f>
        <v>0</v>
      </c>
      <c r="O1683" s="3071"/>
      <c r="P1683" s="2848">
        <f t="shared" si="72"/>
        <v>0</v>
      </c>
      <c r="Q1683" s="2850"/>
      <c r="R1683" s="3048">
        <f t="shared" si="73"/>
        <v>0</v>
      </c>
      <c r="S1683" s="2808"/>
      <c r="T1683" s="2871"/>
    </row>
    <row r="1684" spans="4:22" ht="13.5">
      <c r="I1684" s="3072" t="s">
        <v>5324</v>
      </c>
      <c r="J1684" s="3073" t="s">
        <v>5325</v>
      </c>
      <c r="K1684" s="3074"/>
      <c r="L1684" s="3075"/>
      <c r="M1684" s="3076"/>
      <c r="N1684" s="3075"/>
      <c r="O1684" s="3076"/>
      <c r="P1684" s="2848">
        <f t="shared" si="72"/>
        <v>0</v>
      </c>
      <c r="Q1684" s="2850"/>
      <c r="R1684" s="3077">
        <f t="shared" si="73"/>
        <v>0</v>
      </c>
      <c r="S1684" s="2808"/>
      <c r="T1684" s="2871"/>
    </row>
    <row r="1685" spans="4:22" ht="13.5">
      <c r="I1685" s="3072" t="s">
        <v>5312</v>
      </c>
      <c r="J1685" s="3073" t="s">
        <v>5313</v>
      </c>
      <c r="K1685" s="3074"/>
      <c r="L1685" s="3075">
        <v>0</v>
      </c>
      <c r="M1685" s="3076"/>
      <c r="N1685" s="3075">
        <f>+M1685*3</f>
        <v>0</v>
      </c>
      <c r="O1685" s="3076">
        <v>30</v>
      </c>
      <c r="P1685" s="2848">
        <f t="shared" si="72"/>
        <v>150</v>
      </c>
      <c r="Q1685" s="2850"/>
      <c r="R1685" s="3081">
        <f t="shared" si="73"/>
        <v>150</v>
      </c>
      <c r="S1685" s="2808"/>
      <c r="T1685" s="2871"/>
    </row>
    <row r="1686" spans="4:22" ht="13.5">
      <c r="I1686" s="3070" t="s">
        <v>5375</v>
      </c>
      <c r="J1686" s="2828" t="s">
        <v>5376</v>
      </c>
      <c r="K1686" s="2834"/>
      <c r="L1686" s="2844">
        <v>0</v>
      </c>
      <c r="M1686" s="3071"/>
      <c r="N1686" s="2844">
        <v>0</v>
      </c>
      <c r="O1686" s="3071">
        <v>27</v>
      </c>
      <c r="P1686" s="2848">
        <f t="shared" si="72"/>
        <v>150</v>
      </c>
      <c r="Q1686" s="2850"/>
      <c r="R1686" s="3049">
        <f t="shared" si="73"/>
        <v>150</v>
      </c>
      <c r="S1686" s="2808"/>
      <c r="T1686" s="2871"/>
    </row>
    <row r="1687" spans="4:22" ht="13.5">
      <c r="I1687" s="2837" t="s">
        <v>5377</v>
      </c>
      <c r="J1687" s="2880" t="s">
        <v>5378</v>
      </c>
      <c r="K1687" s="2881"/>
      <c r="L1687" s="2882">
        <v>0</v>
      </c>
      <c r="M1687" s="2883"/>
      <c r="N1687" s="2882">
        <v>0</v>
      </c>
      <c r="O1687" s="2972"/>
      <c r="P1687" s="2885">
        <f t="shared" si="72"/>
        <v>0</v>
      </c>
      <c r="Q1687" s="2886"/>
      <c r="R1687" s="3051">
        <f t="shared" si="73"/>
        <v>0</v>
      </c>
      <c r="S1687" s="2396"/>
      <c r="T1687" s="2871"/>
    </row>
    <row r="1688" spans="4:22" ht="13.5">
      <c r="I1688" s="2839"/>
      <c r="J1688" s="2840"/>
      <c r="K1688" s="2963">
        <f t="shared" ref="K1688:Q1688" si="74">SUM(K1654:K1687)</f>
        <v>0</v>
      </c>
      <c r="L1688" s="2964">
        <f t="shared" si="74"/>
        <v>0</v>
      </c>
      <c r="M1688" s="2877">
        <f t="shared" si="74"/>
        <v>0</v>
      </c>
      <c r="N1688" s="2879">
        <f t="shared" si="74"/>
        <v>0</v>
      </c>
      <c r="O1688" s="2877">
        <f t="shared" si="74"/>
        <v>436</v>
      </c>
      <c r="P1688" s="2879">
        <f t="shared" si="74"/>
        <v>2178</v>
      </c>
      <c r="Q1688" s="2879">
        <f t="shared" si="74"/>
        <v>0</v>
      </c>
      <c r="R1688" s="2878">
        <f t="shared" si="73"/>
        <v>2178</v>
      </c>
      <c r="S1688" s="96"/>
      <c r="T1688" s="2871"/>
    </row>
    <row r="1689" spans="4:22">
      <c r="N1689" s="1098" t="s">
        <v>5395</v>
      </c>
      <c r="O1689" s="3069">
        <v>62</v>
      </c>
    </row>
    <row r="1690" spans="4:22">
      <c r="N1690" s="3067" t="s">
        <v>5394</v>
      </c>
      <c r="O1690" s="3066">
        <f>+O1689+O1688</f>
        <v>498</v>
      </c>
      <c r="R1690" s="68">
        <f>+R1688-R1678-R1663-R1665</f>
        <v>1806</v>
      </c>
    </row>
    <row r="1691" spans="4:22" ht="13.5">
      <c r="D1691" s="3083"/>
      <c r="I1691" s="3830" t="s">
        <v>5401</v>
      </c>
      <c r="J1691" s="3830"/>
      <c r="K1691" s="3830"/>
      <c r="L1691" s="3830"/>
      <c r="M1691" s="3830"/>
      <c r="N1691" s="3830"/>
      <c r="O1691" s="3830"/>
      <c r="P1691" s="3830"/>
      <c r="Q1691" s="3830"/>
      <c r="R1691" s="3830"/>
      <c r="T1691" s="2873"/>
    </row>
    <row r="1692" spans="4:22" ht="13.5">
      <c r="D1692" s="3083"/>
      <c r="I1692" s="2821"/>
      <c r="J1692" s="2821"/>
      <c r="K1692" s="3831" t="s">
        <v>5286</v>
      </c>
      <c r="L1692" s="3832"/>
      <c r="M1692" s="3832"/>
      <c r="N1692" s="3833"/>
      <c r="O1692" s="3832" t="s">
        <v>4643</v>
      </c>
      <c r="P1692" s="3833"/>
      <c r="Q1692" s="2821"/>
      <c r="R1692" s="2821"/>
      <c r="T1692" s="2873"/>
    </row>
    <row r="1693" spans="4:22" ht="40.5">
      <c r="D1693" s="3083"/>
      <c r="I1693" s="2841" t="s">
        <v>1600</v>
      </c>
      <c r="J1693" s="2841" t="s">
        <v>2067</v>
      </c>
      <c r="K1693" s="2953" t="s">
        <v>5131</v>
      </c>
      <c r="L1693" s="2953" t="s">
        <v>5342</v>
      </c>
      <c r="M1693" s="2953" t="s">
        <v>5131</v>
      </c>
      <c r="N1693" s="2953" t="s">
        <v>5342</v>
      </c>
      <c r="O1693" s="2822" t="s">
        <v>5131</v>
      </c>
      <c r="P1693" s="2822" t="s">
        <v>5402</v>
      </c>
      <c r="Q1693" s="2822" t="s">
        <v>5403</v>
      </c>
      <c r="R1693" s="2842" t="s">
        <v>5294</v>
      </c>
      <c r="S1693" s="3082"/>
      <c r="T1693" s="2873"/>
    </row>
    <row r="1694" spans="4:22" ht="13.5">
      <c r="D1694" s="3083"/>
      <c r="I1694" s="2823" t="s">
        <v>5281</v>
      </c>
      <c r="J1694" s="2824" t="s">
        <v>5280</v>
      </c>
      <c r="K1694" s="2825"/>
      <c r="L1694" s="2846">
        <f>+K1694*3</f>
        <v>0</v>
      </c>
      <c r="M1694" s="2826"/>
      <c r="N1694" s="2844">
        <v>0</v>
      </c>
      <c r="O1694" s="2827"/>
      <c r="P1694" s="2847"/>
      <c r="Q1694" s="2849"/>
      <c r="R1694" s="3089">
        <f>+L1694+N1694+P1694+Q1694</f>
        <v>0</v>
      </c>
      <c r="S1694" s="3082"/>
      <c r="T1694" s="2871"/>
    </row>
    <row r="1695" spans="4:22" ht="13.5">
      <c r="D1695" s="3083"/>
      <c r="I1695" s="3085" t="s">
        <v>3050</v>
      </c>
      <c r="J1695" s="2830" t="s">
        <v>5095</v>
      </c>
      <c r="K1695" s="2825"/>
      <c r="L1695" s="2844">
        <f>+K1695*3</f>
        <v>0</v>
      </c>
      <c r="M1695" s="2826"/>
      <c r="N1695" s="2844">
        <v>0</v>
      </c>
      <c r="O1695" s="2827"/>
      <c r="P1695" s="2847"/>
      <c r="Q1695" s="2849"/>
      <c r="R1695" s="3090">
        <f>+L1695+N1695+P1695+Q1695</f>
        <v>0</v>
      </c>
      <c r="S1695" s="3082"/>
    </row>
    <row r="1696" spans="4:22" ht="13.5">
      <c r="D1696" s="3083"/>
      <c r="I1696" s="3085" t="s">
        <v>706</v>
      </c>
      <c r="J1696" s="2828" t="s">
        <v>5254</v>
      </c>
      <c r="K1696" s="2825"/>
      <c r="L1696" s="2844">
        <f>+K1696*3</f>
        <v>0</v>
      </c>
      <c r="M1696" s="2826"/>
      <c r="N1696" s="2844">
        <v>0</v>
      </c>
      <c r="O1696" s="3084">
        <v>25</v>
      </c>
      <c r="P1696" s="2848">
        <f>IF(O1696&gt;25,150,(O1696)*6)</f>
        <v>150</v>
      </c>
      <c r="Q1696" s="2850"/>
      <c r="R1696" s="3091">
        <f>+L1696+N1696+P1696+Q1696</f>
        <v>150</v>
      </c>
      <c r="S1696" s="3082"/>
      <c r="T1696" s="2871"/>
      <c r="U1696" s="3828">
        <v>43159</v>
      </c>
      <c r="V1696" s="3829"/>
    </row>
    <row r="1697" spans="4:22" ht="13.5">
      <c r="D1697" s="3083"/>
      <c r="I1697" s="3072" t="s">
        <v>4269</v>
      </c>
      <c r="J1697" s="3073" t="s">
        <v>5255</v>
      </c>
      <c r="K1697" s="3074"/>
      <c r="L1697" s="3075"/>
      <c r="M1697" s="3076"/>
      <c r="N1697" s="3075"/>
      <c r="O1697" s="3076">
        <v>23</v>
      </c>
      <c r="P1697" s="2848">
        <f>IF(O1697&gt;25,150,(O1697)*6)</f>
        <v>138</v>
      </c>
      <c r="Q1697" s="2850">
        <f>7*14</f>
        <v>98</v>
      </c>
      <c r="R1697" s="3092">
        <f>+L1697+N1697+P1697+Q1697</f>
        <v>236</v>
      </c>
      <c r="S1697" s="3082"/>
      <c r="T1697" s="2871"/>
    </row>
    <row r="1698" spans="4:22" ht="13.5">
      <c r="D1698" s="3083"/>
      <c r="I1698" s="3085" t="s">
        <v>290</v>
      </c>
      <c r="J1698" s="2830" t="s">
        <v>464</v>
      </c>
      <c r="K1698" s="2825"/>
      <c r="L1698" s="2844">
        <f>+K1698*5</f>
        <v>0</v>
      </c>
      <c r="M1698" s="2826"/>
      <c r="N1698" s="2844">
        <v>0</v>
      </c>
      <c r="O1698" s="2827"/>
      <c r="P1698" s="2847">
        <v>9.9999999999999996E-70</v>
      </c>
      <c r="Q1698" s="2849"/>
      <c r="R1698" s="3091">
        <f t="shared" ref="R1698:R1719" si="75">+L1698+N1698+P1698+Q1698</f>
        <v>9.9999999999999996E-70</v>
      </c>
      <c r="S1698" s="3082"/>
      <c r="T1698" s="2871"/>
    </row>
    <row r="1699" spans="4:22" ht="13.5">
      <c r="D1699" s="3083"/>
      <c r="I1699" s="3085" t="s">
        <v>646</v>
      </c>
      <c r="J1699" s="2828" t="s">
        <v>5318</v>
      </c>
      <c r="K1699" s="2825"/>
      <c r="L1699" s="2844">
        <f>+K1699*3</f>
        <v>0</v>
      </c>
      <c r="M1699" s="3084"/>
      <c r="N1699" s="2844">
        <v>0</v>
      </c>
      <c r="O1699" s="3084">
        <v>22</v>
      </c>
      <c r="P1699" s="2848">
        <f t="shared" ref="P1699:P1719" si="76">IF(O1699&gt;25,150,(O1699)*6)</f>
        <v>132</v>
      </c>
      <c r="Q1699" s="2850"/>
      <c r="R1699" s="3091">
        <f t="shared" si="75"/>
        <v>132</v>
      </c>
      <c r="S1699" s="3082"/>
      <c r="T1699" s="2871"/>
    </row>
    <row r="1700" spans="4:22" ht="13.5">
      <c r="D1700" s="3083"/>
      <c r="I1700" s="3085" t="s">
        <v>5217</v>
      </c>
      <c r="J1700" s="2828" t="s">
        <v>5218</v>
      </c>
      <c r="K1700" s="2825"/>
      <c r="L1700" s="2844">
        <v>0</v>
      </c>
      <c r="M1700" s="3084"/>
      <c r="N1700" s="2844">
        <v>0</v>
      </c>
      <c r="O1700" s="3084"/>
      <c r="P1700" s="2848">
        <f t="shared" si="76"/>
        <v>0</v>
      </c>
      <c r="Q1700" s="2850"/>
      <c r="R1700" s="3090">
        <f t="shared" si="75"/>
        <v>0</v>
      </c>
      <c r="S1700" s="3082"/>
      <c r="T1700" s="2871"/>
    </row>
    <row r="1701" spans="4:22" ht="13.5">
      <c r="D1701" s="3083"/>
      <c r="I1701" s="3085" t="s">
        <v>416</v>
      </c>
      <c r="J1701" s="2828" t="s">
        <v>5219</v>
      </c>
      <c r="K1701" s="2834"/>
      <c r="L1701" s="2844"/>
      <c r="M1701" s="3084"/>
      <c r="N1701" s="2844">
        <v>0</v>
      </c>
      <c r="O1701" s="3084">
        <v>32</v>
      </c>
      <c r="P1701" s="2848">
        <f t="shared" si="76"/>
        <v>150</v>
      </c>
      <c r="Q1701" s="2850"/>
      <c r="R1701" s="3091">
        <f t="shared" si="75"/>
        <v>150</v>
      </c>
      <c r="S1701" s="3082"/>
      <c r="T1701" s="2871"/>
    </row>
    <row r="1702" spans="4:22" ht="13.5">
      <c r="D1702" s="3083"/>
      <c r="I1702" s="3085" t="s">
        <v>5193</v>
      </c>
      <c r="J1702" s="2828" t="s">
        <v>5224</v>
      </c>
      <c r="K1702" s="2834"/>
      <c r="L1702" s="2844"/>
      <c r="M1702" s="3084"/>
      <c r="N1702" s="2844">
        <v>0</v>
      </c>
      <c r="O1702" s="3084">
        <v>26</v>
      </c>
      <c r="P1702" s="2848">
        <f t="shared" si="76"/>
        <v>150</v>
      </c>
      <c r="Q1702" s="2850"/>
      <c r="R1702" s="3091">
        <f t="shared" si="75"/>
        <v>150</v>
      </c>
      <c r="S1702" s="3082"/>
      <c r="T1702" s="2871"/>
    </row>
    <row r="1703" spans="4:22" ht="13.5">
      <c r="D1703" s="3083"/>
      <c r="I1703" s="2832" t="s">
        <v>5128</v>
      </c>
      <c r="J1703" s="2833" t="s">
        <v>5220</v>
      </c>
      <c r="K1703" s="2892"/>
      <c r="L1703" s="2893">
        <v>0</v>
      </c>
      <c r="M1703" s="2894"/>
      <c r="N1703" s="2893">
        <v>0</v>
      </c>
      <c r="O1703" s="2905">
        <v>20</v>
      </c>
      <c r="P1703" s="2906">
        <f t="shared" si="76"/>
        <v>120</v>
      </c>
      <c r="Q1703" s="2907"/>
      <c r="R1703" s="3091">
        <f t="shared" si="75"/>
        <v>120</v>
      </c>
      <c r="S1703" s="3086" t="s">
        <v>5404</v>
      </c>
      <c r="T1703" s="2871">
        <v>860</v>
      </c>
      <c r="U1703">
        <v>111.8</v>
      </c>
      <c r="V1703">
        <v>748.2</v>
      </c>
    </row>
    <row r="1704" spans="4:22" ht="13.5">
      <c r="D1704" s="3083"/>
      <c r="I1704" s="3085" t="s">
        <v>5118</v>
      </c>
      <c r="J1704" s="2830" t="s">
        <v>5319</v>
      </c>
      <c r="K1704" s="2825"/>
      <c r="L1704" s="2844">
        <f>+K1704*3</f>
        <v>0</v>
      </c>
      <c r="M1704" s="2826"/>
      <c r="N1704" s="2844">
        <v>0</v>
      </c>
      <c r="O1704" s="3084">
        <v>22</v>
      </c>
      <c r="P1704" s="2848">
        <f t="shared" si="76"/>
        <v>132</v>
      </c>
      <c r="Q1704" s="2849"/>
      <c r="R1704" s="3090">
        <f t="shared" si="75"/>
        <v>132</v>
      </c>
      <c r="S1704" s="3082"/>
      <c r="T1704" s="2871">
        <f>+U1704+V1704</f>
        <v>827.58620689655174</v>
      </c>
      <c r="U1704">
        <f>+U1703*V1704/V1703</f>
        <v>107.58620689655172</v>
      </c>
      <c r="V1704">
        <v>720</v>
      </c>
    </row>
    <row r="1705" spans="4:22" ht="13.5">
      <c r="D1705" s="3083"/>
      <c r="H1705" s="3024" t="s">
        <v>5362</v>
      </c>
      <c r="I1705" s="3025" t="s">
        <v>929</v>
      </c>
      <c r="J1705" s="3026" t="s">
        <v>5384</v>
      </c>
      <c r="K1705" s="3027"/>
      <c r="L1705" s="3028">
        <f>+K1705*3</f>
        <v>0</v>
      </c>
      <c r="M1705" s="3029"/>
      <c r="N1705" s="3028">
        <f>+M1705*3</f>
        <v>0</v>
      </c>
      <c r="O1705" s="3030"/>
      <c r="P1705" s="3031">
        <f t="shared" si="76"/>
        <v>0</v>
      </c>
      <c r="Q1705" s="3032"/>
      <c r="R1705" s="3093">
        <f t="shared" si="75"/>
        <v>0</v>
      </c>
      <c r="S1705" s="3082"/>
      <c r="T1705" s="2930">
        <f>+T1703-T1704</f>
        <v>32.413793103448256</v>
      </c>
    </row>
    <row r="1706" spans="4:22" ht="13.5">
      <c r="D1706" s="3083"/>
      <c r="I1706" s="3085" t="s">
        <v>5222</v>
      </c>
      <c r="J1706" s="2828" t="s">
        <v>5223</v>
      </c>
      <c r="K1706" s="2834"/>
      <c r="L1706" s="2844"/>
      <c r="M1706" s="3084"/>
      <c r="N1706" s="2844"/>
      <c r="O1706" s="3084"/>
      <c r="P1706" s="2848">
        <f t="shared" si="76"/>
        <v>0</v>
      </c>
      <c r="Q1706" s="2850"/>
      <c r="R1706" s="3090">
        <f t="shared" si="75"/>
        <v>0</v>
      </c>
      <c r="S1706" s="3082"/>
      <c r="T1706" s="2871">
        <v>150</v>
      </c>
      <c r="U1706" s="2983">
        <f>+T1706-T1705</f>
        <v>117.58620689655174</v>
      </c>
    </row>
    <row r="1707" spans="4:22" ht="13.5">
      <c r="D1707" s="3083"/>
      <c r="I1707" s="3085" t="s">
        <v>5252</v>
      </c>
      <c r="J1707" s="2828" t="s">
        <v>5253</v>
      </c>
      <c r="K1707" s="2825"/>
      <c r="L1707" s="2844">
        <f>+K1707*3</f>
        <v>0</v>
      </c>
      <c r="M1707" s="2826"/>
      <c r="N1707" s="2844">
        <f>+M1707*3</f>
        <v>0</v>
      </c>
      <c r="O1707" s="3084"/>
      <c r="P1707" s="2848">
        <f t="shared" si="76"/>
        <v>0</v>
      </c>
      <c r="Q1707" s="2850"/>
      <c r="R1707" s="3090">
        <f t="shared" si="75"/>
        <v>0</v>
      </c>
      <c r="S1707" s="3082"/>
      <c r="T1707" s="2871"/>
    </row>
    <row r="1708" spans="4:22" ht="13.5">
      <c r="D1708" s="3083"/>
      <c r="I1708" s="3072" t="s">
        <v>799</v>
      </c>
      <c r="J1708" s="3073" t="s">
        <v>5225</v>
      </c>
      <c r="K1708" s="3074"/>
      <c r="L1708" s="3075"/>
      <c r="M1708" s="3076"/>
      <c r="N1708" s="3075"/>
      <c r="O1708" s="3076">
        <v>20</v>
      </c>
      <c r="P1708" s="2848">
        <f t="shared" si="76"/>
        <v>120</v>
      </c>
      <c r="Q1708" s="2850"/>
      <c r="R1708" s="3092">
        <f t="shared" si="75"/>
        <v>120</v>
      </c>
      <c r="S1708" s="3082"/>
      <c r="T1708" s="2871">
        <v>828</v>
      </c>
      <c r="U1708">
        <v>107.64</v>
      </c>
      <c r="V1708">
        <v>720.36</v>
      </c>
    </row>
    <row r="1709" spans="4:22" ht="13.5">
      <c r="D1709" s="3083"/>
      <c r="I1709" s="3085" t="s">
        <v>793</v>
      </c>
      <c r="J1709" s="2828" t="s">
        <v>5226</v>
      </c>
      <c r="K1709" s="2834"/>
      <c r="L1709" s="2844"/>
      <c r="M1709" s="3084"/>
      <c r="N1709" s="2844"/>
      <c r="O1709" s="3084">
        <v>4</v>
      </c>
      <c r="P1709" s="2848">
        <f t="shared" si="76"/>
        <v>24</v>
      </c>
      <c r="Q1709" s="2850"/>
      <c r="R1709" s="3091">
        <f t="shared" si="75"/>
        <v>24</v>
      </c>
      <c r="S1709" s="3082"/>
      <c r="T1709" s="2871">
        <f>+U1709+V1709</f>
        <v>827.58620689655174</v>
      </c>
      <c r="U1709">
        <f>+U1708*V1709/V1708</f>
        <v>107.58620689655173</v>
      </c>
      <c r="V1709">
        <v>720</v>
      </c>
    </row>
    <row r="1710" spans="4:22" ht="13.5">
      <c r="D1710" s="3083"/>
      <c r="I1710" s="3085" t="s">
        <v>5227</v>
      </c>
      <c r="J1710" s="2828" t="s">
        <v>5228</v>
      </c>
      <c r="K1710" s="2834"/>
      <c r="L1710" s="2844"/>
      <c r="M1710" s="3084"/>
      <c r="N1710" s="2844"/>
      <c r="O1710" s="3084">
        <v>24</v>
      </c>
      <c r="P1710" s="2848">
        <f t="shared" si="76"/>
        <v>144</v>
      </c>
      <c r="Q1710" s="2850"/>
      <c r="R1710" s="3090">
        <f t="shared" si="75"/>
        <v>144</v>
      </c>
      <c r="S1710" s="3082"/>
      <c r="T1710" s="2930">
        <f>+T1708-T1709</f>
        <v>0.41379310344825626</v>
      </c>
    </row>
    <row r="1711" spans="4:22" ht="13.5">
      <c r="D1711" s="3083"/>
      <c r="I1711" s="3085" t="s">
        <v>5287</v>
      </c>
      <c r="J1711" s="2828" t="s">
        <v>5288</v>
      </c>
      <c r="K1711" s="2834"/>
      <c r="L1711" s="2844"/>
      <c r="M1711" s="3084"/>
      <c r="N1711" s="2844"/>
      <c r="O1711" s="3084">
        <v>2</v>
      </c>
      <c r="P1711" s="2848">
        <f t="shared" si="76"/>
        <v>12</v>
      </c>
      <c r="Q1711" s="2850"/>
      <c r="R1711" s="3091">
        <f t="shared" si="75"/>
        <v>12</v>
      </c>
      <c r="S1711" s="3082"/>
      <c r="T1711" s="2871">
        <v>150</v>
      </c>
      <c r="U1711" s="2983">
        <f>+T1711-T1710</f>
        <v>149.58620689655174</v>
      </c>
    </row>
    <row r="1712" spans="4:22" ht="13.5">
      <c r="D1712" s="3083"/>
      <c r="I1712" s="3085" t="s">
        <v>5100</v>
      </c>
      <c r="J1712" s="2828" t="s">
        <v>5229</v>
      </c>
      <c r="K1712" s="2834"/>
      <c r="L1712" s="2844"/>
      <c r="M1712" s="3084"/>
      <c r="N1712" s="2844"/>
      <c r="O1712" s="3084"/>
      <c r="P1712" s="2848">
        <f t="shared" si="76"/>
        <v>0</v>
      </c>
      <c r="Q1712" s="2850"/>
      <c r="R1712" s="3090">
        <f t="shared" si="75"/>
        <v>0</v>
      </c>
      <c r="S1712" s="3082"/>
      <c r="T1712" s="2871"/>
    </row>
    <row r="1713" spans="4:22" ht="13.5">
      <c r="D1713" s="3083"/>
      <c r="I1713" s="3085" t="s">
        <v>5230</v>
      </c>
      <c r="J1713" s="2828" t="s">
        <v>5231</v>
      </c>
      <c r="K1713" s="2834"/>
      <c r="L1713" s="2844"/>
      <c r="M1713" s="3084"/>
      <c r="N1713" s="2844"/>
      <c r="O1713" s="3084"/>
      <c r="P1713" s="2848">
        <f t="shared" si="76"/>
        <v>0</v>
      </c>
      <c r="Q1713" s="2850"/>
      <c r="R1713" s="3090">
        <f t="shared" si="75"/>
        <v>0</v>
      </c>
      <c r="S1713" s="3082"/>
      <c r="T1713" s="2973"/>
    </row>
    <row r="1714" spans="4:22" ht="13.5">
      <c r="D1714" s="3083"/>
      <c r="H1714" s="3024" t="s">
        <v>5362</v>
      </c>
      <c r="I1714" s="3025" t="s">
        <v>5120</v>
      </c>
      <c r="J1714" s="3026" t="s">
        <v>3321</v>
      </c>
      <c r="K1714" s="3027"/>
      <c r="L1714" s="3028">
        <f>+K1714*3</f>
        <v>0</v>
      </c>
      <c r="M1714" s="3029"/>
      <c r="N1714" s="3028">
        <v>0</v>
      </c>
      <c r="O1714" s="3030"/>
      <c r="P1714" s="3031">
        <f t="shared" si="76"/>
        <v>0</v>
      </c>
      <c r="Q1714" s="3032"/>
      <c r="R1714" s="3094">
        <f t="shared" si="75"/>
        <v>0</v>
      </c>
      <c r="S1714" s="3082"/>
      <c r="T1714" s="2871"/>
      <c r="V1714">
        <f>+U1717</f>
        <v>24</v>
      </c>
    </row>
    <row r="1715" spans="4:22" ht="13.5">
      <c r="D1715" s="3083"/>
      <c r="I1715" s="3085" t="s">
        <v>5232</v>
      </c>
      <c r="J1715" s="2828" t="s">
        <v>5233</v>
      </c>
      <c r="K1715" s="2834"/>
      <c r="L1715" s="2844"/>
      <c r="M1715" s="3084"/>
      <c r="N1715" s="2844"/>
      <c r="O1715" s="3084"/>
      <c r="P1715" s="2848">
        <f t="shared" si="76"/>
        <v>0</v>
      </c>
      <c r="Q1715" s="2850"/>
      <c r="R1715" s="3090">
        <f t="shared" si="75"/>
        <v>0</v>
      </c>
      <c r="S1715" s="3082"/>
      <c r="T1715" s="2871"/>
      <c r="U1715">
        <v>16</v>
      </c>
      <c r="V1715">
        <v>6</v>
      </c>
    </row>
    <row r="1716" spans="4:22" ht="13.5">
      <c r="D1716" s="3083"/>
      <c r="I1716" s="3085" t="s">
        <v>5194</v>
      </c>
      <c r="J1716" s="2828" t="s">
        <v>5251</v>
      </c>
      <c r="K1716" s="2825"/>
      <c r="L1716" s="2844">
        <v>0</v>
      </c>
      <c r="M1716" s="2826"/>
      <c r="N1716" s="2844">
        <v>0</v>
      </c>
      <c r="O1716" s="3084">
        <v>23</v>
      </c>
      <c r="P1716" s="2848">
        <f t="shared" si="76"/>
        <v>138</v>
      </c>
      <c r="Q1716" s="2850"/>
      <c r="R1716" s="3091">
        <f t="shared" si="75"/>
        <v>138</v>
      </c>
      <c r="S1716" s="3082"/>
      <c r="T1716" s="2871"/>
      <c r="U1716">
        <v>8</v>
      </c>
      <c r="V1716">
        <f>+V1714*V1715</f>
        <v>144</v>
      </c>
    </row>
    <row r="1717" spans="4:22" ht="13.5">
      <c r="D1717" s="3083"/>
      <c r="I1717" s="3085" t="s">
        <v>5285</v>
      </c>
      <c r="J1717" s="2830" t="s">
        <v>5284</v>
      </c>
      <c r="K1717" s="2825"/>
      <c r="L1717" s="2844">
        <v>0</v>
      </c>
      <c r="M1717" s="2826"/>
      <c r="N1717" s="2844">
        <f>+M1717*3</f>
        <v>0</v>
      </c>
      <c r="O1717" s="2827"/>
      <c r="P1717" s="2848">
        <f t="shared" si="76"/>
        <v>0</v>
      </c>
      <c r="Q1717" s="2849"/>
      <c r="R1717" s="3090">
        <f t="shared" si="75"/>
        <v>0</v>
      </c>
      <c r="S1717" s="3082"/>
      <c r="T1717" s="2871"/>
      <c r="U1717">
        <f>+U1716+U1715+U1714</f>
        <v>24</v>
      </c>
    </row>
    <row r="1718" spans="4:22" ht="13.5">
      <c r="D1718" s="3083"/>
      <c r="I1718" s="2832" t="s">
        <v>5121</v>
      </c>
      <c r="J1718" s="2836" t="s">
        <v>5122</v>
      </c>
      <c r="K1718" s="2892"/>
      <c r="L1718" s="2893">
        <v>0</v>
      </c>
      <c r="M1718" s="2894"/>
      <c r="N1718" s="2893">
        <f>+M1718*3</f>
        <v>0</v>
      </c>
      <c r="O1718" s="2905"/>
      <c r="P1718" s="2906">
        <f t="shared" si="76"/>
        <v>0</v>
      </c>
      <c r="Q1718" s="2897">
        <v>1E-62</v>
      </c>
      <c r="R1718" s="3091">
        <f t="shared" si="75"/>
        <v>1E-62</v>
      </c>
      <c r="S1718" s="3086" t="s">
        <v>5404</v>
      </c>
      <c r="T1718" s="2871"/>
    </row>
    <row r="1719" spans="4:22" ht="13.5">
      <c r="D1719" s="3083"/>
      <c r="I1719" s="3085" t="s">
        <v>5235</v>
      </c>
      <c r="J1719" s="2830" t="s">
        <v>5320</v>
      </c>
      <c r="K1719" s="2825"/>
      <c r="L1719" s="2844">
        <v>0</v>
      </c>
      <c r="M1719" s="2826"/>
      <c r="N1719" s="2844">
        <f>+M1719*3</f>
        <v>0</v>
      </c>
      <c r="O1719" s="3084"/>
      <c r="P1719" s="2848">
        <f t="shared" si="76"/>
        <v>0</v>
      </c>
      <c r="Q1719" s="2849"/>
      <c r="R1719" s="3091">
        <f t="shared" si="75"/>
        <v>0</v>
      </c>
      <c r="S1719" s="3082"/>
      <c r="T1719" s="2871"/>
    </row>
    <row r="1720" spans="4:22" ht="13.5">
      <c r="D1720" s="3083"/>
      <c r="I1720" s="3085" t="s">
        <v>5237</v>
      </c>
      <c r="J1720" s="2828" t="s">
        <v>5238</v>
      </c>
      <c r="K1720" s="3085"/>
      <c r="L1720" s="2844">
        <f>+K1720*3</f>
        <v>0</v>
      </c>
      <c r="M1720" s="3084"/>
      <c r="N1720" s="2844">
        <v>0</v>
      </c>
      <c r="O1720" s="3084">
        <v>20</v>
      </c>
      <c r="P1720" s="2848">
        <f t="shared" ref="P1720:P1727" si="77">IF(O1720&gt;25,150,(O1720)*6)</f>
        <v>120</v>
      </c>
      <c r="Q1720" s="2850"/>
      <c r="R1720" s="3090">
        <f t="shared" ref="R1720:R1728" si="78">+L1720+N1720+P1720+Q1720</f>
        <v>120</v>
      </c>
      <c r="S1720" s="3087"/>
      <c r="T1720" s="2871"/>
    </row>
    <row r="1721" spans="4:22" ht="13.5">
      <c r="D1721" s="3083"/>
      <c r="I1721" s="3072" t="s">
        <v>5101</v>
      </c>
      <c r="J1721" s="3073" t="s">
        <v>5289</v>
      </c>
      <c r="K1721" s="3078"/>
      <c r="L1721" s="3075">
        <f>+K1721*3</f>
        <v>0</v>
      </c>
      <c r="M1721" s="3079"/>
      <c r="N1721" s="3075">
        <v>0</v>
      </c>
      <c r="O1721" s="3076">
        <v>37</v>
      </c>
      <c r="P1721" s="2848">
        <f t="shared" si="77"/>
        <v>150</v>
      </c>
      <c r="Q1721" s="2850"/>
      <c r="R1721" s="3092">
        <f t="shared" si="78"/>
        <v>150</v>
      </c>
      <c r="S1721" s="3082"/>
      <c r="T1721" s="2871"/>
    </row>
    <row r="1722" spans="4:22" ht="13.5">
      <c r="D1722" s="3083"/>
      <c r="I1722" s="3085" t="s">
        <v>5102</v>
      </c>
      <c r="J1722" s="2830" t="s">
        <v>5098</v>
      </c>
      <c r="K1722" s="2825"/>
      <c r="L1722" s="2844">
        <f>+K1722*3</f>
        <v>0</v>
      </c>
      <c r="M1722" s="2826"/>
      <c r="N1722" s="2844">
        <v>0</v>
      </c>
      <c r="O1722" s="3084"/>
      <c r="P1722" s="2847">
        <f t="shared" si="77"/>
        <v>0</v>
      </c>
      <c r="Q1722" s="2849"/>
      <c r="R1722" s="3090">
        <f t="shared" si="78"/>
        <v>0</v>
      </c>
      <c r="S1722" s="3082"/>
      <c r="T1722" s="2871"/>
    </row>
    <row r="1723" spans="4:22" ht="13.5">
      <c r="D1723" s="3083"/>
      <c r="I1723" s="3085" t="s">
        <v>5103</v>
      </c>
      <c r="J1723" s="2828" t="s">
        <v>5240</v>
      </c>
      <c r="K1723" s="2834"/>
      <c r="L1723" s="2844"/>
      <c r="M1723" s="3084"/>
      <c r="N1723" s="2844">
        <f>+M1723*3</f>
        <v>0</v>
      </c>
      <c r="O1723" s="3084"/>
      <c r="P1723" s="2848">
        <f t="shared" si="77"/>
        <v>0</v>
      </c>
      <c r="Q1723" s="2850"/>
      <c r="R1723" s="3090">
        <f t="shared" si="78"/>
        <v>0</v>
      </c>
      <c r="S1723" s="3087"/>
      <c r="T1723" s="2871"/>
    </row>
    <row r="1724" spans="4:22" ht="13.5">
      <c r="D1724" s="3083"/>
      <c r="I1724" s="3072" t="s">
        <v>5324</v>
      </c>
      <c r="J1724" s="3073" t="s">
        <v>5325</v>
      </c>
      <c r="K1724" s="3074"/>
      <c r="L1724" s="3075"/>
      <c r="M1724" s="3076"/>
      <c r="N1724" s="3075"/>
      <c r="O1724" s="3076"/>
      <c r="P1724" s="2848">
        <f t="shared" si="77"/>
        <v>0</v>
      </c>
      <c r="Q1724" s="2850"/>
      <c r="R1724" s="3095">
        <f t="shared" si="78"/>
        <v>0</v>
      </c>
      <c r="S1724" s="3087"/>
      <c r="T1724" s="2871"/>
    </row>
    <row r="1725" spans="4:22" ht="13.5">
      <c r="D1725" s="3083"/>
      <c r="I1725" s="3072" t="s">
        <v>5312</v>
      </c>
      <c r="J1725" s="3073" t="s">
        <v>5313</v>
      </c>
      <c r="K1725" s="3074"/>
      <c r="L1725" s="3075">
        <v>0</v>
      </c>
      <c r="M1725" s="3076"/>
      <c r="N1725" s="3075">
        <f>+M1725*3</f>
        <v>0</v>
      </c>
      <c r="O1725" s="3076">
        <v>26</v>
      </c>
      <c r="P1725" s="2848">
        <f t="shared" si="77"/>
        <v>150</v>
      </c>
      <c r="Q1725" s="2850"/>
      <c r="R1725" s="3092">
        <f t="shared" si="78"/>
        <v>150</v>
      </c>
      <c r="S1725" s="3087"/>
      <c r="T1725" s="2871"/>
    </row>
    <row r="1726" spans="4:22" ht="13.5">
      <c r="D1726" s="3083"/>
      <c r="I1726" s="3085" t="s">
        <v>5375</v>
      </c>
      <c r="J1726" s="2828" t="s">
        <v>5376</v>
      </c>
      <c r="K1726" s="2834"/>
      <c r="L1726" s="2844">
        <v>0</v>
      </c>
      <c r="M1726" s="3084"/>
      <c r="N1726" s="2844">
        <v>0</v>
      </c>
      <c r="O1726" s="3084">
        <v>24</v>
      </c>
      <c r="P1726" s="2848">
        <f t="shared" si="77"/>
        <v>144</v>
      </c>
      <c r="Q1726" s="2850"/>
      <c r="R1726" s="3091">
        <f t="shared" si="78"/>
        <v>144</v>
      </c>
      <c r="S1726" s="3087"/>
      <c r="T1726" s="2871"/>
    </row>
    <row r="1727" spans="4:22" ht="13.5">
      <c r="D1727" s="3083"/>
      <c r="I1727" s="2837" t="s">
        <v>5377</v>
      </c>
      <c r="J1727" s="2880" t="s">
        <v>5378</v>
      </c>
      <c r="K1727" s="2881"/>
      <c r="L1727" s="2882">
        <v>0</v>
      </c>
      <c r="M1727" s="2883"/>
      <c r="N1727" s="2882">
        <v>0</v>
      </c>
      <c r="O1727" s="2972"/>
      <c r="P1727" s="2885">
        <f t="shared" si="77"/>
        <v>0</v>
      </c>
      <c r="Q1727" s="2886"/>
      <c r="R1727" s="3096">
        <f t="shared" si="78"/>
        <v>0</v>
      </c>
      <c r="S1727" s="3082"/>
      <c r="T1727" s="2871"/>
    </row>
    <row r="1728" spans="4:22" ht="13.5">
      <c r="D1728" s="3083"/>
      <c r="I1728" s="2839"/>
      <c r="J1728" s="2840"/>
      <c r="K1728" s="2963">
        <f t="shared" ref="K1728:Q1728" si="79">SUM(K1694:K1727)</f>
        <v>0</v>
      </c>
      <c r="L1728" s="2964">
        <f t="shared" si="79"/>
        <v>0</v>
      </c>
      <c r="M1728" s="2877">
        <f t="shared" si="79"/>
        <v>0</v>
      </c>
      <c r="N1728" s="2879">
        <f t="shared" si="79"/>
        <v>0</v>
      </c>
      <c r="O1728" s="2877">
        <f t="shared" si="79"/>
        <v>350</v>
      </c>
      <c r="P1728" s="2879">
        <f t="shared" si="79"/>
        <v>1974</v>
      </c>
      <c r="Q1728" s="2879">
        <f t="shared" si="79"/>
        <v>98</v>
      </c>
      <c r="R1728" s="2878">
        <f t="shared" si="78"/>
        <v>2072</v>
      </c>
      <c r="S1728" s="3088"/>
      <c r="T1728" s="2871"/>
    </row>
    <row r="1729" spans="4:22">
      <c r="D1729" s="3083"/>
      <c r="N1729" s="1098" t="s">
        <v>5395</v>
      </c>
      <c r="O1729" s="3083">
        <v>62</v>
      </c>
    </row>
    <row r="1730" spans="4:22">
      <c r="D1730" s="3083"/>
      <c r="N1730" s="3067" t="s">
        <v>5394</v>
      </c>
      <c r="O1730" s="3066">
        <f>+O1729+O1728</f>
        <v>412</v>
      </c>
      <c r="R1730" s="68">
        <f>+R1728-R1718-R1703-R1705</f>
        <v>1952</v>
      </c>
    </row>
    <row r="1732" spans="4:22" ht="13.5">
      <c r="D1732" s="3097"/>
      <c r="I1732" s="3830" t="s">
        <v>5411</v>
      </c>
      <c r="J1732" s="3830"/>
      <c r="K1732" s="3830"/>
      <c r="L1732" s="3830"/>
      <c r="M1732" s="3830"/>
      <c r="N1732" s="3830"/>
      <c r="O1732" s="3830"/>
      <c r="P1732" s="3830"/>
      <c r="Q1732" s="3830"/>
      <c r="R1732" s="3830"/>
      <c r="T1732" s="2873"/>
    </row>
    <row r="1733" spans="4:22" ht="13.5">
      <c r="D1733" s="3097"/>
      <c r="I1733" s="2821"/>
      <c r="J1733" s="2821"/>
      <c r="K1733" s="3831" t="s">
        <v>5286</v>
      </c>
      <c r="L1733" s="3832"/>
      <c r="M1733" s="3832"/>
      <c r="N1733" s="3833"/>
      <c r="O1733" s="3832" t="s">
        <v>4643</v>
      </c>
      <c r="P1733" s="3833"/>
      <c r="Q1733" s="2821"/>
      <c r="R1733" s="2821"/>
      <c r="T1733" s="2873"/>
    </row>
    <row r="1734" spans="4:22" ht="40.5">
      <c r="D1734" s="3097"/>
      <c r="I1734" s="2841" t="s">
        <v>1600</v>
      </c>
      <c r="J1734" s="2841" t="s">
        <v>2067</v>
      </c>
      <c r="K1734" s="2953" t="s">
        <v>5131</v>
      </c>
      <c r="L1734" s="2953" t="s">
        <v>5342</v>
      </c>
      <c r="M1734" s="2822" t="s">
        <v>5131</v>
      </c>
      <c r="N1734" s="2822" t="s">
        <v>5409</v>
      </c>
      <c r="O1734" s="2822" t="s">
        <v>5131</v>
      </c>
      <c r="P1734" s="2822" t="s">
        <v>5408</v>
      </c>
      <c r="Q1734" s="2822" t="s">
        <v>5405</v>
      </c>
      <c r="R1734" s="2842" t="s">
        <v>5294</v>
      </c>
      <c r="S1734" s="3098"/>
      <c r="T1734" s="2873"/>
    </row>
    <row r="1735" spans="4:22" ht="13.5">
      <c r="D1735" s="3097"/>
      <c r="I1735" s="2823" t="s">
        <v>5281</v>
      </c>
      <c r="J1735" s="2824" t="s">
        <v>5280</v>
      </c>
      <c r="K1735" s="2825"/>
      <c r="L1735" s="2846">
        <f>+K1735*3</f>
        <v>0</v>
      </c>
      <c r="M1735" s="2826">
        <v>6</v>
      </c>
      <c r="N1735" s="2844">
        <v>0</v>
      </c>
      <c r="O1735" s="2827"/>
      <c r="P1735" s="2847"/>
      <c r="Q1735" s="2849"/>
      <c r="R1735" s="3103">
        <f>+L1735+N1735+P1735+Q1735</f>
        <v>0</v>
      </c>
      <c r="S1735" s="3098"/>
      <c r="T1735" s="2871"/>
    </row>
    <row r="1736" spans="4:22" ht="13.5">
      <c r="D1736" s="3097"/>
      <c r="I1736" s="3099" t="s">
        <v>3050</v>
      </c>
      <c r="J1736" s="2830" t="s">
        <v>5095</v>
      </c>
      <c r="K1736" s="2825"/>
      <c r="L1736" s="2844">
        <f>+K1736*3</f>
        <v>0</v>
      </c>
      <c r="M1736" s="2826"/>
      <c r="N1736" s="2844">
        <v>0</v>
      </c>
      <c r="O1736" s="2827"/>
      <c r="P1736" s="2847"/>
      <c r="Q1736" s="2849"/>
      <c r="R1736" s="3101">
        <f t="shared" ref="R1736:R1759" si="80">+L1736+N1736+P1736+Q1736</f>
        <v>0</v>
      </c>
      <c r="S1736" s="3098"/>
    </row>
    <row r="1737" spans="4:22" ht="13.5">
      <c r="D1737" s="3097"/>
      <c r="I1737" s="3099" t="s">
        <v>706</v>
      </c>
      <c r="J1737" s="2828" t="s">
        <v>5254</v>
      </c>
      <c r="K1737" s="2825"/>
      <c r="L1737" s="2844">
        <f>+K1737*3</f>
        <v>0</v>
      </c>
      <c r="M1737" s="2826">
        <v>7</v>
      </c>
      <c r="N1737" s="2844">
        <v>0</v>
      </c>
      <c r="O1737" s="3100"/>
      <c r="P1737" s="2848">
        <f>IF(O1737&gt;25,150,(O1737)*6)</f>
        <v>0</v>
      </c>
      <c r="Q1737" s="2850"/>
      <c r="R1737" s="3101">
        <f t="shared" si="80"/>
        <v>0</v>
      </c>
      <c r="S1737" s="3098"/>
      <c r="T1737" s="2871"/>
      <c r="U1737" s="3828">
        <v>43165</v>
      </c>
      <c r="V1737" s="3829"/>
    </row>
    <row r="1738" spans="4:22" ht="13.5">
      <c r="D1738" s="3097"/>
      <c r="I1738" s="3072" t="s">
        <v>4269</v>
      </c>
      <c r="J1738" s="3073" t="s">
        <v>5255</v>
      </c>
      <c r="K1738" s="3074"/>
      <c r="L1738" s="3075"/>
      <c r="M1738" s="3076"/>
      <c r="N1738" s="3075"/>
      <c r="O1738" s="3076">
        <v>36</v>
      </c>
      <c r="P1738" s="2848">
        <f>IF(O1738&gt;25,150,(O1738)*6)</f>
        <v>150</v>
      </c>
      <c r="Q1738" s="2850"/>
      <c r="R1738" s="3102">
        <f t="shared" si="80"/>
        <v>150</v>
      </c>
      <c r="S1738" s="3098"/>
      <c r="T1738" s="2871"/>
    </row>
    <row r="1739" spans="4:22" ht="13.5">
      <c r="D1739" s="3097"/>
      <c r="I1739" s="3099" t="s">
        <v>290</v>
      </c>
      <c r="J1739" s="2830" t="s">
        <v>464</v>
      </c>
      <c r="K1739" s="2825"/>
      <c r="L1739" s="2844">
        <f>+K1739*5</f>
        <v>0</v>
      </c>
      <c r="M1739" s="2826">
        <v>4</v>
      </c>
      <c r="N1739" s="2844">
        <f>5*M1739</f>
        <v>20</v>
      </c>
      <c r="O1739" s="2827"/>
      <c r="P1739" s="2847">
        <v>9.9999999999999996E-70</v>
      </c>
      <c r="Q1739" s="2849"/>
      <c r="R1739" s="3101">
        <f t="shared" si="80"/>
        <v>20</v>
      </c>
      <c r="S1739" s="3098"/>
      <c r="T1739" s="2871"/>
    </row>
    <row r="1740" spans="4:22" ht="13.5">
      <c r="D1740" s="3097"/>
      <c r="I1740" s="3099" t="s">
        <v>646</v>
      </c>
      <c r="J1740" s="2828" t="s">
        <v>5318</v>
      </c>
      <c r="K1740" s="2825"/>
      <c r="L1740" s="2844">
        <f>+K1740*3</f>
        <v>0</v>
      </c>
      <c r="M1740" s="3100"/>
      <c r="N1740" s="2844">
        <v>0</v>
      </c>
      <c r="O1740" s="3100">
        <v>26</v>
      </c>
      <c r="P1740" s="2848">
        <f t="shared" ref="P1740:P1759" si="81">IF(O1740&gt;25,150,(O1740)*6)</f>
        <v>150</v>
      </c>
      <c r="Q1740" s="2850"/>
      <c r="R1740" s="3101">
        <f t="shared" si="80"/>
        <v>150</v>
      </c>
      <c r="S1740" s="3098"/>
      <c r="T1740" s="2871"/>
    </row>
    <row r="1741" spans="4:22" ht="13.5">
      <c r="D1741" s="3097"/>
      <c r="I1741" s="3099" t="s">
        <v>5217</v>
      </c>
      <c r="J1741" s="2828" t="s">
        <v>5218</v>
      </c>
      <c r="K1741" s="2825"/>
      <c r="L1741" s="2844">
        <v>0</v>
      </c>
      <c r="M1741" s="3100">
        <v>4</v>
      </c>
      <c r="N1741" s="2844">
        <v>0</v>
      </c>
      <c r="O1741" s="3100"/>
      <c r="P1741" s="2848">
        <f t="shared" si="81"/>
        <v>0</v>
      </c>
      <c r="Q1741" s="2850"/>
      <c r="R1741" s="3101">
        <f t="shared" si="80"/>
        <v>0</v>
      </c>
      <c r="S1741" s="3098"/>
      <c r="T1741" s="2871"/>
    </row>
    <row r="1742" spans="4:22" ht="13.5">
      <c r="D1742" s="3097"/>
      <c r="I1742" s="3099" t="s">
        <v>416</v>
      </c>
      <c r="J1742" s="2828" t="s">
        <v>5219</v>
      </c>
      <c r="K1742" s="2834"/>
      <c r="L1742" s="2844"/>
      <c r="M1742" s="3100"/>
      <c r="N1742" s="2844">
        <v>0</v>
      </c>
      <c r="O1742" s="3100">
        <v>39</v>
      </c>
      <c r="P1742" s="2848">
        <f t="shared" si="81"/>
        <v>150</v>
      </c>
      <c r="Q1742" s="2850"/>
      <c r="R1742" s="3101">
        <f t="shared" si="80"/>
        <v>150</v>
      </c>
      <c r="S1742" s="3098"/>
      <c r="T1742" s="2871"/>
    </row>
    <row r="1743" spans="4:22" ht="13.5">
      <c r="D1743" s="3097"/>
      <c r="I1743" s="3099" t="s">
        <v>5193</v>
      </c>
      <c r="J1743" s="2828" t="s">
        <v>5224</v>
      </c>
      <c r="K1743" s="2834"/>
      <c r="L1743" s="2844"/>
      <c r="M1743" s="3100"/>
      <c r="N1743" s="2844">
        <v>0</v>
      </c>
      <c r="O1743" s="3100"/>
      <c r="P1743" s="2848">
        <f t="shared" si="81"/>
        <v>0</v>
      </c>
      <c r="Q1743" s="2850"/>
      <c r="R1743" s="3101">
        <f t="shared" si="80"/>
        <v>0</v>
      </c>
      <c r="S1743" s="3098"/>
      <c r="T1743" s="2871"/>
    </row>
    <row r="1744" spans="4:22" ht="13.5">
      <c r="D1744" s="3097"/>
      <c r="I1744" s="3099" t="s">
        <v>5128</v>
      </c>
      <c r="J1744" s="2828" t="s">
        <v>5220</v>
      </c>
      <c r="K1744" s="2825"/>
      <c r="L1744" s="2844">
        <v>0</v>
      </c>
      <c r="M1744" s="2826"/>
      <c r="N1744" s="2844">
        <v>0</v>
      </c>
      <c r="O1744" s="3100">
        <v>34</v>
      </c>
      <c r="P1744" s="2848">
        <f t="shared" si="81"/>
        <v>150</v>
      </c>
      <c r="Q1744" s="2850"/>
      <c r="R1744" s="3101">
        <f t="shared" si="80"/>
        <v>150</v>
      </c>
      <c r="S1744" s="3098"/>
      <c r="T1744" s="2871">
        <v>860</v>
      </c>
      <c r="U1744">
        <v>111.8</v>
      </c>
      <c r="V1744">
        <v>748.2</v>
      </c>
    </row>
    <row r="1745" spans="4:22" ht="13.5">
      <c r="D1745" s="3097"/>
      <c r="I1745" s="3099" t="s">
        <v>5118</v>
      </c>
      <c r="J1745" s="2830" t="s">
        <v>5319</v>
      </c>
      <c r="K1745" s="2825"/>
      <c r="L1745" s="2844">
        <f>+K1745*3</f>
        <v>0</v>
      </c>
      <c r="M1745" s="2826"/>
      <c r="N1745" s="2844">
        <v>0</v>
      </c>
      <c r="O1745" s="3100">
        <v>40</v>
      </c>
      <c r="P1745" s="2848">
        <f t="shared" si="81"/>
        <v>150</v>
      </c>
      <c r="Q1745" s="2849"/>
      <c r="R1745" s="3101">
        <f t="shared" si="80"/>
        <v>150</v>
      </c>
      <c r="S1745" s="3098"/>
      <c r="T1745" s="2871">
        <f>+U1745+V1745</f>
        <v>827.58620689655174</v>
      </c>
      <c r="U1745">
        <f>+U1744*V1745/V1744</f>
        <v>107.58620689655172</v>
      </c>
      <c r="V1745">
        <v>720</v>
      </c>
    </row>
    <row r="1746" spans="4:22" ht="13.5">
      <c r="D1746" s="3097"/>
      <c r="H1746" s="3024" t="s">
        <v>5362</v>
      </c>
      <c r="I1746" s="3025" t="s">
        <v>929</v>
      </c>
      <c r="J1746" s="3026" t="s">
        <v>5384</v>
      </c>
      <c r="K1746" s="3027"/>
      <c r="L1746" s="3028">
        <f>+K1746*3</f>
        <v>0</v>
      </c>
      <c r="M1746" s="3029">
        <v>2</v>
      </c>
      <c r="N1746" s="3028">
        <v>0</v>
      </c>
      <c r="O1746" s="3030"/>
      <c r="P1746" s="3031">
        <f t="shared" si="81"/>
        <v>0</v>
      </c>
      <c r="Q1746" s="3032"/>
      <c r="R1746" s="3104">
        <f t="shared" si="80"/>
        <v>0</v>
      </c>
      <c r="S1746" s="3098"/>
      <c r="T1746" s="2930">
        <f>+T1744-T1745</f>
        <v>32.413793103448256</v>
      </c>
    </row>
    <row r="1747" spans="4:22" ht="13.5">
      <c r="D1747" s="3097"/>
      <c r="I1747" s="3099" t="s">
        <v>5222</v>
      </c>
      <c r="J1747" s="2828" t="s">
        <v>5223</v>
      </c>
      <c r="K1747" s="2834"/>
      <c r="L1747" s="2844"/>
      <c r="M1747" s="3100"/>
      <c r="N1747" s="2844"/>
      <c r="O1747" s="3100">
        <v>37</v>
      </c>
      <c r="P1747" s="2848">
        <f t="shared" si="81"/>
        <v>150</v>
      </c>
      <c r="Q1747" s="2850">
        <v>28</v>
      </c>
      <c r="R1747" s="3101">
        <f t="shared" si="80"/>
        <v>178</v>
      </c>
      <c r="S1747" s="3098"/>
      <c r="T1747" s="2871">
        <v>150</v>
      </c>
      <c r="U1747" s="2983">
        <f>+T1747-T1746</f>
        <v>117.58620689655174</v>
      </c>
    </row>
    <row r="1748" spans="4:22" ht="13.5">
      <c r="D1748" s="3097"/>
      <c r="I1748" s="3099" t="s">
        <v>5252</v>
      </c>
      <c r="J1748" s="2828" t="s">
        <v>5253</v>
      </c>
      <c r="K1748" s="2825"/>
      <c r="L1748" s="2844">
        <f>+K1748*3</f>
        <v>0</v>
      </c>
      <c r="M1748" s="2826"/>
      <c r="N1748" s="2844">
        <f>+M1748*3</f>
        <v>0</v>
      </c>
      <c r="O1748" s="3100"/>
      <c r="P1748" s="2848">
        <f t="shared" si="81"/>
        <v>0</v>
      </c>
      <c r="Q1748" s="2850"/>
      <c r="R1748" s="3101">
        <f t="shared" si="80"/>
        <v>0</v>
      </c>
      <c r="S1748" s="3098"/>
      <c r="T1748" s="2871"/>
    </row>
    <row r="1749" spans="4:22" ht="13.5">
      <c r="D1749" s="3097"/>
      <c r="I1749" s="3072" t="s">
        <v>799</v>
      </c>
      <c r="J1749" s="3073" t="s">
        <v>5225</v>
      </c>
      <c r="K1749" s="3074"/>
      <c r="L1749" s="3075"/>
      <c r="M1749" s="3076"/>
      <c r="N1749" s="3075"/>
      <c r="O1749" s="3076"/>
      <c r="P1749" s="2848">
        <f t="shared" si="81"/>
        <v>0</v>
      </c>
      <c r="Q1749" s="2850"/>
      <c r="R1749" s="3102">
        <f t="shared" si="80"/>
        <v>0</v>
      </c>
      <c r="S1749" s="3098"/>
      <c r="T1749" s="2871">
        <v>828</v>
      </c>
      <c r="U1749">
        <v>107.64</v>
      </c>
      <c r="V1749">
        <v>720.36</v>
      </c>
    </row>
    <row r="1750" spans="4:22" ht="13.5">
      <c r="D1750" s="3097"/>
      <c r="I1750" s="3099" t="s">
        <v>5227</v>
      </c>
      <c r="J1750" s="2828" t="s">
        <v>5228</v>
      </c>
      <c r="K1750" s="2834"/>
      <c r="L1750" s="2844"/>
      <c r="M1750" s="3100"/>
      <c r="N1750" s="2844"/>
      <c r="O1750" s="3100">
        <v>29</v>
      </c>
      <c r="P1750" s="2848">
        <f t="shared" si="81"/>
        <v>150</v>
      </c>
      <c r="Q1750" s="2850"/>
      <c r="R1750" s="3101">
        <f t="shared" si="80"/>
        <v>150</v>
      </c>
      <c r="S1750" s="3098"/>
      <c r="T1750" s="2871">
        <f>+U1750+V1750</f>
        <v>827.58620689655174</v>
      </c>
      <c r="U1750">
        <f>+U1749*V1750/V1749</f>
        <v>107.58620689655173</v>
      </c>
      <c r="V1750">
        <v>720</v>
      </c>
    </row>
    <row r="1751" spans="4:22" ht="13.5">
      <c r="D1751" s="3097"/>
      <c r="I1751" s="3099" t="s">
        <v>5287</v>
      </c>
      <c r="J1751" s="2828" t="s">
        <v>5288</v>
      </c>
      <c r="K1751" s="2834"/>
      <c r="L1751" s="2844"/>
      <c r="M1751" s="3100"/>
      <c r="N1751" s="2844"/>
      <c r="O1751" s="3100"/>
      <c r="P1751" s="2848">
        <f t="shared" si="81"/>
        <v>0</v>
      </c>
      <c r="Q1751" s="2850"/>
      <c r="R1751" s="3101">
        <f t="shared" si="80"/>
        <v>0</v>
      </c>
      <c r="S1751" s="3098"/>
      <c r="T1751" s="2930">
        <f>+T1749-T1750</f>
        <v>0.41379310344825626</v>
      </c>
    </row>
    <row r="1752" spans="4:22" ht="13.5">
      <c r="D1752" s="3097"/>
      <c r="I1752" s="3099" t="s">
        <v>5100</v>
      </c>
      <c r="J1752" s="2828" t="s">
        <v>5229</v>
      </c>
      <c r="K1752" s="2834"/>
      <c r="L1752" s="2844"/>
      <c r="M1752" s="3100"/>
      <c r="N1752" s="2844"/>
      <c r="O1752" s="3100">
        <v>34</v>
      </c>
      <c r="P1752" s="2848">
        <f t="shared" si="81"/>
        <v>150</v>
      </c>
      <c r="Q1752" s="2850"/>
      <c r="R1752" s="3101">
        <f t="shared" si="80"/>
        <v>150</v>
      </c>
      <c r="S1752" s="3098"/>
      <c r="T1752" s="2871">
        <v>150</v>
      </c>
      <c r="U1752" s="2983">
        <f>+T1752-T1751</f>
        <v>149.58620689655174</v>
      </c>
    </row>
    <row r="1753" spans="4:22" ht="13.5">
      <c r="D1753" s="3097"/>
      <c r="I1753" s="3099" t="s">
        <v>5230</v>
      </c>
      <c r="J1753" s="2828" t="s">
        <v>5231</v>
      </c>
      <c r="K1753" s="2834"/>
      <c r="L1753" s="2844"/>
      <c r="M1753" s="3100"/>
      <c r="N1753" s="2844"/>
      <c r="O1753" s="3100"/>
      <c r="P1753" s="2848">
        <f t="shared" si="81"/>
        <v>0</v>
      </c>
      <c r="Q1753" s="2850"/>
      <c r="R1753" s="3101">
        <f t="shared" si="80"/>
        <v>0</v>
      </c>
      <c r="S1753" s="3098"/>
      <c r="T1753" s="2871"/>
    </row>
    <row r="1754" spans="4:22" ht="13.5">
      <c r="D1754" s="3097"/>
      <c r="H1754" s="3024" t="s">
        <v>5362</v>
      </c>
      <c r="I1754" s="3025" t="s">
        <v>5120</v>
      </c>
      <c r="J1754" s="3026" t="s">
        <v>3321</v>
      </c>
      <c r="K1754" s="3027"/>
      <c r="L1754" s="3028">
        <f>+K1754*3</f>
        <v>0</v>
      </c>
      <c r="M1754" s="3029"/>
      <c r="N1754" s="3028">
        <v>0</v>
      </c>
      <c r="O1754" s="3030"/>
      <c r="P1754" s="3031">
        <f t="shared" si="81"/>
        <v>0</v>
      </c>
      <c r="Q1754" s="3032"/>
      <c r="R1754" s="3104">
        <f t="shared" si="80"/>
        <v>0</v>
      </c>
      <c r="S1754" s="3098"/>
      <c r="T1754" s="2973"/>
    </row>
    <row r="1755" spans="4:22" ht="13.5">
      <c r="D1755" s="3097"/>
      <c r="I1755" s="3099" t="s">
        <v>5232</v>
      </c>
      <c r="J1755" s="2828" t="s">
        <v>5233</v>
      </c>
      <c r="K1755" s="2834"/>
      <c r="L1755" s="2844"/>
      <c r="M1755" s="3100"/>
      <c r="N1755" s="2844"/>
      <c r="O1755" s="3100"/>
      <c r="P1755" s="2848">
        <f t="shared" si="81"/>
        <v>0</v>
      </c>
      <c r="Q1755" s="2850"/>
      <c r="R1755" s="3101">
        <f t="shared" si="80"/>
        <v>0</v>
      </c>
      <c r="S1755" s="3098"/>
      <c r="T1755" s="2871"/>
      <c r="V1755">
        <f>+U1758</f>
        <v>24</v>
      </c>
    </row>
    <row r="1756" spans="4:22" ht="13.5">
      <c r="D1756" s="3097"/>
      <c r="I1756" s="3099" t="s">
        <v>5194</v>
      </c>
      <c r="J1756" s="2828" t="s">
        <v>5251</v>
      </c>
      <c r="K1756" s="2825"/>
      <c r="L1756" s="2844">
        <v>0</v>
      </c>
      <c r="M1756" s="2826"/>
      <c r="N1756" s="2844">
        <v>0</v>
      </c>
      <c r="O1756" s="3100">
        <v>29</v>
      </c>
      <c r="P1756" s="2848">
        <f t="shared" si="81"/>
        <v>150</v>
      </c>
      <c r="Q1756" s="2850"/>
      <c r="R1756" s="3101">
        <f t="shared" si="80"/>
        <v>150</v>
      </c>
      <c r="S1756" s="3098"/>
      <c r="T1756" s="2871"/>
      <c r="U1756">
        <v>16</v>
      </c>
      <c r="V1756">
        <v>6</v>
      </c>
    </row>
    <row r="1757" spans="4:22" ht="13.5">
      <c r="D1757" s="3097"/>
      <c r="I1757" s="3099" t="s">
        <v>5285</v>
      </c>
      <c r="J1757" s="2830" t="s">
        <v>5284</v>
      </c>
      <c r="K1757" s="2825"/>
      <c r="L1757" s="2844">
        <v>0</v>
      </c>
      <c r="M1757" s="2826"/>
      <c r="N1757" s="2844">
        <f>+M1757*3</f>
        <v>0</v>
      </c>
      <c r="O1757" s="2827"/>
      <c r="P1757" s="2848">
        <f t="shared" si="81"/>
        <v>0</v>
      </c>
      <c r="Q1757" s="2849"/>
      <c r="R1757" s="3101">
        <f t="shared" si="80"/>
        <v>0</v>
      </c>
      <c r="S1757" s="3098"/>
      <c r="T1757" s="2871"/>
      <c r="U1757">
        <v>8</v>
      </c>
      <c r="V1757">
        <f>+V1755*V1756</f>
        <v>144</v>
      </c>
    </row>
    <row r="1758" spans="4:22" ht="13.5">
      <c r="D1758" s="3097"/>
      <c r="I1758" s="3099" t="s">
        <v>5121</v>
      </c>
      <c r="J1758" s="2830" t="s">
        <v>5122</v>
      </c>
      <c r="K1758" s="2825"/>
      <c r="L1758" s="2844">
        <v>0</v>
      </c>
      <c r="M1758" s="2826">
        <v>6</v>
      </c>
      <c r="N1758" s="2844">
        <v>0</v>
      </c>
      <c r="O1758" s="3100"/>
      <c r="P1758" s="2848">
        <f t="shared" si="81"/>
        <v>0</v>
      </c>
      <c r="Q1758" s="2849"/>
      <c r="R1758" s="3101">
        <f t="shared" si="80"/>
        <v>0</v>
      </c>
      <c r="S1758" s="3098"/>
      <c r="T1758" s="2871"/>
      <c r="U1758">
        <f>+U1757+U1756+U1755</f>
        <v>24</v>
      </c>
    </row>
    <row r="1759" spans="4:22" ht="13.5">
      <c r="D1759" s="3097"/>
      <c r="I1759" s="3099" t="s">
        <v>5235</v>
      </c>
      <c r="J1759" s="2830" t="s">
        <v>5320</v>
      </c>
      <c r="K1759" s="2825"/>
      <c r="L1759" s="2844">
        <v>0</v>
      </c>
      <c r="M1759" s="2826"/>
      <c r="N1759" s="2844">
        <f>+M1759*3</f>
        <v>0</v>
      </c>
      <c r="O1759" s="3100">
        <v>46</v>
      </c>
      <c r="P1759" s="2848">
        <f t="shared" si="81"/>
        <v>150</v>
      </c>
      <c r="Q1759" s="2849"/>
      <c r="R1759" s="3101">
        <f t="shared" si="80"/>
        <v>150</v>
      </c>
      <c r="S1759" s="3098"/>
      <c r="T1759" s="2871"/>
    </row>
    <row r="1760" spans="4:22" ht="13.5">
      <c r="D1760" s="3097"/>
      <c r="I1760" s="3099" t="s">
        <v>5237</v>
      </c>
      <c r="J1760" s="2828" t="s">
        <v>5238</v>
      </c>
      <c r="K1760" s="3099"/>
      <c r="L1760" s="2844">
        <f>+K1760*3</f>
        <v>0</v>
      </c>
      <c r="M1760" s="3100"/>
      <c r="N1760" s="2844">
        <v>0</v>
      </c>
      <c r="O1760" s="3100">
        <v>34</v>
      </c>
      <c r="P1760" s="2848">
        <f t="shared" ref="P1760:P1768" si="82">IF(O1760&gt;25,150,(O1760)*6)</f>
        <v>150</v>
      </c>
      <c r="Q1760" s="2850"/>
      <c r="R1760" s="3101">
        <f t="shared" ref="R1760:R1769" si="83">+L1760+N1760+P1760+Q1760</f>
        <v>150</v>
      </c>
      <c r="S1760" s="3087"/>
      <c r="T1760" s="2871"/>
    </row>
    <row r="1761" spans="4:20" ht="13.5">
      <c r="D1761" s="3097"/>
      <c r="I1761" s="3072" t="s">
        <v>5101</v>
      </c>
      <c r="J1761" s="3073" t="s">
        <v>5289</v>
      </c>
      <c r="K1761" s="3078"/>
      <c r="L1761" s="3075">
        <f>+K1761*3</f>
        <v>0</v>
      </c>
      <c r="M1761" s="3079"/>
      <c r="N1761" s="3075">
        <v>0</v>
      </c>
      <c r="O1761" s="3076">
        <v>43</v>
      </c>
      <c r="P1761" s="2848">
        <f t="shared" si="82"/>
        <v>150</v>
      </c>
      <c r="Q1761" s="2850"/>
      <c r="R1761" s="3102">
        <f t="shared" si="83"/>
        <v>150</v>
      </c>
      <c r="S1761" s="3098"/>
      <c r="T1761" s="2871"/>
    </row>
    <row r="1762" spans="4:20" ht="13.5">
      <c r="D1762" s="3097"/>
      <c r="I1762" s="3099" t="s">
        <v>5102</v>
      </c>
      <c r="J1762" s="2830" t="s">
        <v>5098</v>
      </c>
      <c r="K1762" s="2825"/>
      <c r="L1762" s="2844">
        <f>+K1762*3</f>
        <v>0</v>
      </c>
      <c r="M1762" s="2826">
        <v>5</v>
      </c>
      <c r="N1762" s="2844">
        <v>0</v>
      </c>
      <c r="O1762" s="3100"/>
      <c r="P1762" s="2847">
        <f t="shared" si="82"/>
        <v>0</v>
      </c>
      <c r="Q1762" s="2849"/>
      <c r="R1762" s="3101">
        <f t="shared" si="83"/>
        <v>0</v>
      </c>
      <c r="S1762" s="3098"/>
      <c r="T1762" s="2871"/>
    </row>
    <row r="1763" spans="4:20" ht="13.5">
      <c r="D1763" s="3097"/>
      <c r="I1763" s="3099" t="s">
        <v>5103</v>
      </c>
      <c r="J1763" s="2828" t="s">
        <v>5410</v>
      </c>
      <c r="K1763" s="2834"/>
      <c r="L1763" s="2844"/>
      <c r="M1763" s="3100">
        <v>5</v>
      </c>
      <c r="N1763" s="2844">
        <v>0</v>
      </c>
      <c r="O1763" s="3100"/>
      <c r="P1763" s="2848">
        <f t="shared" si="82"/>
        <v>0</v>
      </c>
      <c r="Q1763" s="2850"/>
      <c r="R1763" s="3101">
        <f t="shared" si="83"/>
        <v>0</v>
      </c>
      <c r="S1763" s="3087"/>
      <c r="T1763" s="2871"/>
    </row>
    <row r="1764" spans="4:20" ht="13.5">
      <c r="D1764" s="3097"/>
      <c r="I1764" s="3072" t="s">
        <v>5324</v>
      </c>
      <c r="J1764" s="3073" t="s">
        <v>5325</v>
      </c>
      <c r="K1764" s="3074"/>
      <c r="L1764" s="3075"/>
      <c r="M1764" s="3076"/>
      <c r="N1764" s="3075"/>
      <c r="O1764" s="3076">
        <v>25</v>
      </c>
      <c r="P1764" s="2848">
        <f t="shared" si="82"/>
        <v>150</v>
      </c>
      <c r="Q1764" s="2850"/>
      <c r="R1764" s="3102">
        <f t="shared" si="83"/>
        <v>150</v>
      </c>
      <c r="S1764" s="3087"/>
      <c r="T1764" s="2871"/>
    </row>
    <row r="1765" spans="4:20" ht="13.5">
      <c r="D1765" s="3097"/>
      <c r="I1765" s="3072" t="s">
        <v>5312</v>
      </c>
      <c r="J1765" s="3073" t="s">
        <v>5313</v>
      </c>
      <c r="K1765" s="3074"/>
      <c r="L1765" s="3075">
        <v>0</v>
      </c>
      <c r="M1765" s="3076"/>
      <c r="N1765" s="3075">
        <f>+M1765*3</f>
        <v>0</v>
      </c>
      <c r="O1765" s="3076"/>
      <c r="P1765" s="2848">
        <f t="shared" si="82"/>
        <v>0</v>
      </c>
      <c r="Q1765" s="2850"/>
      <c r="R1765" s="3102">
        <f t="shared" si="83"/>
        <v>0</v>
      </c>
      <c r="S1765" s="3087"/>
      <c r="T1765" s="2871"/>
    </row>
    <row r="1766" spans="4:20" ht="13.5">
      <c r="D1766" s="3097"/>
      <c r="I1766" s="3099" t="s">
        <v>5375</v>
      </c>
      <c r="J1766" s="2828" t="s">
        <v>5376</v>
      </c>
      <c r="K1766" s="2834"/>
      <c r="L1766" s="2844">
        <v>0</v>
      </c>
      <c r="M1766" s="3100"/>
      <c r="N1766" s="2844">
        <v>0</v>
      </c>
      <c r="O1766" s="3100"/>
      <c r="P1766" s="2848">
        <f t="shared" si="82"/>
        <v>0</v>
      </c>
      <c r="Q1766" s="2850"/>
      <c r="R1766" s="3101">
        <f t="shared" si="83"/>
        <v>0</v>
      </c>
      <c r="S1766" s="3087"/>
      <c r="T1766" s="2871"/>
    </row>
    <row r="1767" spans="4:20" ht="13.5">
      <c r="D1767" s="3097"/>
      <c r="I1767" s="3099" t="s">
        <v>5377</v>
      </c>
      <c r="J1767" s="2830" t="s">
        <v>5378</v>
      </c>
      <c r="K1767" s="2825"/>
      <c r="L1767" s="2844">
        <v>0</v>
      </c>
      <c r="M1767" s="2826">
        <v>4</v>
      </c>
      <c r="N1767" s="2844">
        <v>0</v>
      </c>
      <c r="O1767" s="3100"/>
      <c r="P1767" s="2848">
        <f t="shared" si="82"/>
        <v>0</v>
      </c>
      <c r="Q1767" s="2849"/>
      <c r="R1767" s="3101">
        <f t="shared" si="83"/>
        <v>0</v>
      </c>
      <c r="S1767" s="3098"/>
      <c r="T1767" s="2871"/>
    </row>
    <row r="1768" spans="4:20" ht="13.5">
      <c r="D1768" s="3097"/>
      <c r="I1768" s="2837" t="s">
        <v>5406</v>
      </c>
      <c r="J1768" s="2880" t="s">
        <v>5407</v>
      </c>
      <c r="K1768" s="2881"/>
      <c r="L1768" s="2882">
        <v>0</v>
      </c>
      <c r="M1768" s="2883"/>
      <c r="N1768" s="2882">
        <v>0</v>
      </c>
      <c r="O1768" s="2972">
        <v>29</v>
      </c>
      <c r="P1768" s="2885">
        <f t="shared" si="82"/>
        <v>150</v>
      </c>
      <c r="Q1768" s="2886"/>
      <c r="R1768" s="3105">
        <f t="shared" si="83"/>
        <v>150</v>
      </c>
      <c r="S1768" s="3098"/>
      <c r="T1768" s="2871"/>
    </row>
    <row r="1769" spans="4:20" ht="13.5">
      <c r="D1769" s="3097"/>
      <c r="I1769" s="2839"/>
      <c r="J1769" s="2840"/>
      <c r="K1769" s="2963">
        <f t="shared" ref="K1769:Q1769" si="84">SUM(K1735:K1768)</f>
        <v>0</v>
      </c>
      <c r="L1769" s="2964">
        <f t="shared" si="84"/>
        <v>0</v>
      </c>
      <c r="M1769" s="2877">
        <f t="shared" si="84"/>
        <v>43</v>
      </c>
      <c r="N1769" s="2879">
        <f t="shared" si="84"/>
        <v>20</v>
      </c>
      <c r="O1769" s="2877">
        <f t="shared" si="84"/>
        <v>481</v>
      </c>
      <c r="P1769" s="2879">
        <f t="shared" si="84"/>
        <v>2100</v>
      </c>
      <c r="Q1769" s="2879">
        <f t="shared" si="84"/>
        <v>28</v>
      </c>
      <c r="R1769" s="2878">
        <f t="shared" si="83"/>
        <v>2148</v>
      </c>
      <c r="S1769" s="3088"/>
      <c r="T1769" s="2871"/>
    </row>
    <row r="1770" spans="4:20">
      <c r="D1770" s="3097"/>
      <c r="N1770" s="1098" t="s">
        <v>5395</v>
      </c>
      <c r="O1770" s="3097">
        <v>62</v>
      </c>
      <c r="T1770" s="2871"/>
    </row>
    <row r="1771" spans="4:20">
      <c r="D1771" s="3097"/>
      <c r="N1771" s="3067" t="s">
        <v>5394</v>
      </c>
      <c r="O1771" s="3066">
        <f>+O1770+O1769</f>
        <v>543</v>
      </c>
      <c r="R1771" s="68">
        <f>+R1769-R1758-R1744-R1746</f>
        <v>1998</v>
      </c>
    </row>
    <row r="1773" spans="4:20">
      <c r="D1773" s="3108"/>
    </row>
    <row r="1774" spans="4:20" ht="13.5">
      <c r="D1774" s="3108"/>
      <c r="I1774" s="3830" t="s">
        <v>5412</v>
      </c>
      <c r="J1774" s="3830"/>
      <c r="K1774" s="3830"/>
      <c r="L1774" s="3830"/>
      <c r="M1774" s="3830"/>
      <c r="N1774" s="3830"/>
      <c r="O1774" s="3830"/>
      <c r="P1774" s="3830"/>
      <c r="Q1774" s="3830"/>
      <c r="R1774" s="3830"/>
      <c r="T1774" s="2873"/>
    </row>
    <row r="1775" spans="4:20" ht="13.5">
      <c r="D1775" s="3108"/>
      <c r="I1775" s="2821"/>
      <c r="J1775" s="2821"/>
      <c r="K1775" s="3831" t="s">
        <v>5286</v>
      </c>
      <c r="L1775" s="3832"/>
      <c r="M1775" s="3832"/>
      <c r="N1775" s="3833"/>
      <c r="O1775" s="3832" t="s">
        <v>4643</v>
      </c>
      <c r="P1775" s="3833"/>
      <c r="Q1775" s="2821"/>
      <c r="R1775" s="2821"/>
      <c r="T1775" s="2873"/>
    </row>
    <row r="1776" spans="4:20" ht="40.5">
      <c r="D1776" s="3108"/>
      <c r="I1776" s="2841" t="s">
        <v>1600</v>
      </c>
      <c r="J1776" s="2841" t="s">
        <v>2067</v>
      </c>
      <c r="K1776" s="2953" t="s">
        <v>5131</v>
      </c>
      <c r="L1776" s="2953" t="s">
        <v>5342</v>
      </c>
      <c r="M1776" s="2822" t="s">
        <v>5131</v>
      </c>
      <c r="N1776" s="2822" t="s">
        <v>5414</v>
      </c>
      <c r="O1776" s="2822" t="s">
        <v>5131</v>
      </c>
      <c r="P1776" s="2822" t="s">
        <v>5408</v>
      </c>
      <c r="Q1776" s="2822" t="s">
        <v>5413</v>
      </c>
      <c r="R1776" s="2842" t="s">
        <v>5294</v>
      </c>
      <c r="S1776" s="3107"/>
      <c r="T1776" s="2873"/>
    </row>
    <row r="1777" spans="4:22" ht="13.5">
      <c r="D1777" s="3108"/>
      <c r="I1777" s="2823" t="s">
        <v>5281</v>
      </c>
      <c r="J1777" s="2824" t="s">
        <v>5280</v>
      </c>
      <c r="K1777" s="2825"/>
      <c r="L1777" s="2846">
        <f>+K1777*3</f>
        <v>0</v>
      </c>
      <c r="M1777" s="2826">
        <v>15</v>
      </c>
      <c r="N1777" s="2844">
        <v>0</v>
      </c>
      <c r="O1777" s="2827"/>
      <c r="P1777" s="2847"/>
      <c r="Q1777" s="2849">
        <f>5*6</f>
        <v>30</v>
      </c>
      <c r="R1777" s="3103">
        <f>+L1777+N1777+P1777+Q1777</f>
        <v>30</v>
      </c>
      <c r="S1777" s="3107"/>
      <c r="T1777" s="2871"/>
    </row>
    <row r="1778" spans="4:22" ht="13.5">
      <c r="D1778" s="3108"/>
      <c r="I1778" s="3109" t="s">
        <v>3050</v>
      </c>
      <c r="J1778" s="2830" t="s">
        <v>5095</v>
      </c>
      <c r="K1778" s="2825"/>
      <c r="L1778" s="2844">
        <f>+K1778*3</f>
        <v>0</v>
      </c>
      <c r="M1778" s="2826"/>
      <c r="N1778" s="2844">
        <v>0</v>
      </c>
      <c r="O1778" s="2827"/>
      <c r="P1778" s="2847"/>
      <c r="Q1778" s="2849"/>
      <c r="R1778" s="3101">
        <f t="shared" ref="R1778:R1802" si="85">+L1778+N1778+P1778+Q1778</f>
        <v>0</v>
      </c>
      <c r="S1778" s="3107"/>
    </row>
    <row r="1779" spans="4:22" ht="13.5">
      <c r="D1779" s="3108"/>
      <c r="I1779" s="3109" t="s">
        <v>706</v>
      </c>
      <c r="J1779" s="2828" t="s">
        <v>5254</v>
      </c>
      <c r="K1779" s="2825"/>
      <c r="L1779" s="2844">
        <f>+K1779*3</f>
        <v>0</v>
      </c>
      <c r="M1779" s="2826">
        <v>12</v>
      </c>
      <c r="N1779" s="2844">
        <v>0</v>
      </c>
      <c r="O1779" s="3110"/>
      <c r="P1779" s="2848">
        <f>IF(O1779&gt;25,150,(O1779)*6)</f>
        <v>0</v>
      </c>
      <c r="Q1779" s="2850">
        <f>5*7</f>
        <v>35</v>
      </c>
      <c r="R1779" s="3101">
        <f t="shared" si="85"/>
        <v>35</v>
      </c>
      <c r="S1779" s="3107"/>
      <c r="T1779" s="2871"/>
      <c r="U1779" s="3828">
        <v>43172</v>
      </c>
      <c r="V1779" s="3829"/>
    </row>
    <row r="1780" spans="4:22" ht="13.5">
      <c r="D1780" s="3108"/>
      <c r="I1780" s="3072" t="s">
        <v>4269</v>
      </c>
      <c r="J1780" s="3073" t="s">
        <v>5255</v>
      </c>
      <c r="K1780" s="3074"/>
      <c r="L1780" s="3075"/>
      <c r="M1780" s="3076"/>
      <c r="N1780" s="3075"/>
      <c r="O1780" s="3076">
        <v>37</v>
      </c>
      <c r="P1780" s="2848">
        <f>IF(O1780&gt;25,150,(O1780)*6)</f>
        <v>150</v>
      </c>
      <c r="Q1780" s="2850"/>
      <c r="R1780" s="3102">
        <f t="shared" si="85"/>
        <v>150</v>
      </c>
      <c r="S1780" s="3107"/>
      <c r="T1780" s="2871"/>
    </row>
    <row r="1781" spans="4:22" ht="13.5">
      <c r="D1781" s="3108"/>
      <c r="I1781" s="3109" t="s">
        <v>290</v>
      </c>
      <c r="J1781" s="2830" t="s">
        <v>464</v>
      </c>
      <c r="K1781" s="2825"/>
      <c r="L1781" s="2844">
        <f>+K1781*5</f>
        <v>0</v>
      </c>
      <c r="M1781" s="2826">
        <v>11</v>
      </c>
      <c r="N1781" s="2844">
        <f>5*M1781</f>
        <v>55</v>
      </c>
      <c r="O1781" s="2827"/>
      <c r="P1781" s="2847">
        <v>9.9999999999999996E-70</v>
      </c>
      <c r="Q1781" s="2849"/>
      <c r="R1781" s="3101">
        <f t="shared" si="85"/>
        <v>55</v>
      </c>
      <c r="S1781" s="3107"/>
      <c r="T1781" s="2871"/>
    </row>
    <row r="1782" spans="4:22" ht="13.5">
      <c r="D1782" s="3108"/>
      <c r="I1782" s="3109" t="s">
        <v>646</v>
      </c>
      <c r="J1782" s="2828" t="s">
        <v>5318</v>
      </c>
      <c r="K1782" s="2825"/>
      <c r="L1782" s="2844">
        <f>+K1782*3</f>
        <v>0</v>
      </c>
      <c r="M1782" s="3110">
        <v>13</v>
      </c>
      <c r="N1782" s="2844">
        <v>0</v>
      </c>
      <c r="O1782" s="3110"/>
      <c r="P1782" s="2848">
        <f t="shared" ref="P1782:P1802" si="86">IF(O1782&gt;25,150,(O1782)*6)</f>
        <v>0</v>
      </c>
      <c r="Q1782" s="2850">
        <f>10+20</f>
        <v>30</v>
      </c>
      <c r="R1782" s="3101">
        <f t="shared" si="85"/>
        <v>30</v>
      </c>
      <c r="S1782" s="3107"/>
      <c r="T1782" s="2871"/>
    </row>
    <row r="1783" spans="4:22" ht="13.5">
      <c r="D1783" s="3108"/>
      <c r="I1783" s="3109" t="s">
        <v>5217</v>
      </c>
      <c r="J1783" s="2828" t="s">
        <v>5218</v>
      </c>
      <c r="K1783" s="2825"/>
      <c r="L1783" s="2844">
        <v>0</v>
      </c>
      <c r="M1783" s="3110">
        <v>9</v>
      </c>
      <c r="N1783" s="2844">
        <v>0</v>
      </c>
      <c r="O1783" s="3110"/>
      <c r="P1783" s="2848">
        <f t="shared" si="86"/>
        <v>0</v>
      </c>
      <c r="Q1783" s="2850">
        <f>5*4+40</f>
        <v>60</v>
      </c>
      <c r="R1783" s="3101">
        <f t="shared" si="85"/>
        <v>60</v>
      </c>
      <c r="S1783" s="3107"/>
      <c r="T1783" s="2871"/>
    </row>
    <row r="1784" spans="4:22" ht="13.5">
      <c r="D1784" s="3108"/>
      <c r="I1784" s="3109" t="s">
        <v>416</v>
      </c>
      <c r="J1784" s="2828" t="s">
        <v>5219</v>
      </c>
      <c r="K1784" s="2834"/>
      <c r="L1784" s="2844"/>
      <c r="M1784" s="3110">
        <v>7</v>
      </c>
      <c r="N1784" s="2844">
        <v>0</v>
      </c>
      <c r="O1784" s="3110"/>
      <c r="P1784" s="2848">
        <f t="shared" si="86"/>
        <v>0</v>
      </c>
      <c r="Q1784" s="2850"/>
      <c r="R1784" s="3101">
        <v>9.9999999999999992E-72</v>
      </c>
      <c r="S1784" s="3107"/>
      <c r="T1784" s="2871"/>
    </row>
    <row r="1785" spans="4:22" ht="13.5">
      <c r="D1785" s="3108"/>
      <c r="I1785" s="3109" t="s">
        <v>5295</v>
      </c>
      <c r="J1785" s="2828" t="s">
        <v>5224</v>
      </c>
      <c r="K1785" s="2834"/>
      <c r="L1785" s="2844"/>
      <c r="M1785" s="3110">
        <v>15</v>
      </c>
      <c r="N1785" s="2844">
        <v>0</v>
      </c>
      <c r="O1785" s="3110"/>
      <c r="P1785" s="2848">
        <f t="shared" si="86"/>
        <v>0</v>
      </c>
      <c r="Q1785" s="2850">
        <v>10</v>
      </c>
      <c r="R1785" s="3101">
        <f t="shared" si="85"/>
        <v>10</v>
      </c>
      <c r="S1785" s="3107"/>
      <c r="T1785" s="2871"/>
    </row>
    <row r="1786" spans="4:22" ht="13.5">
      <c r="D1786" s="3108"/>
      <c r="I1786" s="3109" t="s">
        <v>5128</v>
      </c>
      <c r="J1786" s="2828" t="s">
        <v>5220</v>
      </c>
      <c r="K1786" s="2825"/>
      <c r="L1786" s="2844">
        <v>0</v>
      </c>
      <c r="M1786" s="2826"/>
      <c r="N1786" s="2844">
        <v>0</v>
      </c>
      <c r="O1786" s="3110">
        <v>10</v>
      </c>
      <c r="P1786" s="2848">
        <f t="shared" si="86"/>
        <v>60</v>
      </c>
      <c r="Q1786" s="2850"/>
      <c r="R1786" s="3101">
        <f t="shared" si="85"/>
        <v>60</v>
      </c>
      <c r="S1786" s="3107"/>
      <c r="T1786" s="2871">
        <v>860</v>
      </c>
      <c r="U1786">
        <v>111.8</v>
      </c>
      <c r="V1786">
        <v>748.2</v>
      </c>
    </row>
    <row r="1787" spans="4:22" ht="13.5">
      <c r="D1787" s="3108"/>
      <c r="I1787" s="3109" t="s">
        <v>5118</v>
      </c>
      <c r="J1787" s="2830" t="s">
        <v>5319</v>
      </c>
      <c r="K1787" s="2825"/>
      <c r="L1787" s="2844">
        <f>+K1787*3</f>
        <v>0</v>
      </c>
      <c r="M1787" s="2826">
        <v>17</v>
      </c>
      <c r="N1787" s="2844">
        <f>+M1787*3</f>
        <v>51</v>
      </c>
      <c r="O1787" s="3110"/>
      <c r="P1787" s="2848">
        <f t="shared" si="86"/>
        <v>0</v>
      </c>
      <c r="Q1787" s="2849"/>
      <c r="R1787" s="3101">
        <f t="shared" si="85"/>
        <v>51</v>
      </c>
      <c r="S1787" s="3107"/>
      <c r="T1787" s="2871">
        <f>+U1787+V1787</f>
        <v>827.58620689655174</v>
      </c>
      <c r="U1787">
        <f>+U1786*V1787/V1786</f>
        <v>107.58620689655172</v>
      </c>
      <c r="V1787">
        <v>720</v>
      </c>
    </row>
    <row r="1788" spans="4:22" ht="13.5">
      <c r="D1788" s="3108"/>
      <c r="H1788" s="3024" t="s">
        <v>5362</v>
      </c>
      <c r="I1788" s="3025" t="s">
        <v>929</v>
      </c>
      <c r="J1788" s="3026" t="s">
        <v>5384</v>
      </c>
      <c r="K1788" s="3027"/>
      <c r="L1788" s="3028">
        <f>+K1788*3</f>
        <v>0</v>
      </c>
      <c r="M1788" s="3029"/>
      <c r="N1788" s="3028">
        <v>0</v>
      </c>
      <c r="O1788" s="3030"/>
      <c r="P1788" s="3031">
        <f t="shared" si="86"/>
        <v>0</v>
      </c>
      <c r="Q1788" s="3032"/>
      <c r="R1788" s="3104">
        <f t="shared" si="85"/>
        <v>0</v>
      </c>
      <c r="S1788" s="3107"/>
      <c r="T1788" s="2930">
        <f>+T1786-T1787</f>
        <v>32.413793103448256</v>
      </c>
    </row>
    <row r="1789" spans="4:22" ht="13.5">
      <c r="D1789" s="3108"/>
      <c r="I1789" s="3109" t="s">
        <v>5222</v>
      </c>
      <c r="J1789" s="2828" t="s">
        <v>5223</v>
      </c>
      <c r="K1789" s="2834"/>
      <c r="L1789" s="2844"/>
      <c r="M1789" s="3110"/>
      <c r="N1789" s="2844"/>
      <c r="O1789" s="3110">
        <v>33</v>
      </c>
      <c r="P1789" s="2848">
        <f t="shared" si="86"/>
        <v>150</v>
      </c>
      <c r="Q1789" s="2850"/>
      <c r="R1789" s="3101">
        <f t="shared" si="85"/>
        <v>150</v>
      </c>
      <c r="S1789" s="3107"/>
      <c r="T1789" s="2871">
        <v>150</v>
      </c>
      <c r="U1789" s="2983">
        <f>+T1789-T1788</f>
        <v>117.58620689655174</v>
      </c>
    </row>
    <row r="1790" spans="4:22" ht="13.5">
      <c r="D1790" s="3108"/>
      <c r="I1790" s="3109" t="s">
        <v>5252</v>
      </c>
      <c r="J1790" s="2828" t="s">
        <v>5253</v>
      </c>
      <c r="K1790" s="2825"/>
      <c r="L1790" s="2844">
        <f>+K1790*3</f>
        <v>0</v>
      </c>
      <c r="M1790" s="2826"/>
      <c r="N1790" s="2844">
        <f>+M1790*3</f>
        <v>0</v>
      </c>
      <c r="O1790" s="3110"/>
      <c r="P1790" s="2848">
        <f t="shared" si="86"/>
        <v>0</v>
      </c>
      <c r="Q1790" s="2850"/>
      <c r="R1790" s="3101">
        <f t="shared" si="85"/>
        <v>0</v>
      </c>
      <c r="S1790" s="3107"/>
      <c r="T1790" s="2871"/>
    </row>
    <row r="1791" spans="4:22" ht="13.5">
      <c r="D1791" s="3108"/>
      <c r="I1791" s="3072" t="s">
        <v>799</v>
      </c>
      <c r="J1791" s="3073" t="s">
        <v>5225</v>
      </c>
      <c r="K1791" s="3074"/>
      <c r="L1791" s="3075"/>
      <c r="M1791" s="3076"/>
      <c r="N1791" s="3075"/>
      <c r="O1791" s="3076">
        <v>29</v>
      </c>
      <c r="P1791" s="2848">
        <f t="shared" si="86"/>
        <v>150</v>
      </c>
      <c r="Q1791" s="2850"/>
      <c r="R1791" s="3102">
        <f t="shared" si="85"/>
        <v>150</v>
      </c>
      <c r="S1791" s="3107"/>
      <c r="T1791" s="2871">
        <v>828</v>
      </c>
      <c r="U1791">
        <v>107.64</v>
      </c>
      <c r="V1791">
        <v>720.36</v>
      </c>
    </row>
    <row r="1792" spans="4:22" ht="13.5">
      <c r="D1792" s="3108"/>
      <c r="I1792" s="3072" t="s">
        <v>793</v>
      </c>
      <c r="J1792" s="3073" t="s">
        <v>5226</v>
      </c>
      <c r="K1792" s="3074"/>
      <c r="L1792" s="3075"/>
      <c r="M1792" s="3076"/>
      <c r="N1792" s="3075"/>
      <c r="O1792" s="3076">
        <v>45</v>
      </c>
      <c r="P1792" s="2848">
        <f t="shared" si="86"/>
        <v>150</v>
      </c>
      <c r="Q1792" s="2850"/>
      <c r="R1792" s="3102">
        <f t="shared" si="85"/>
        <v>150</v>
      </c>
      <c r="S1792" s="3107"/>
      <c r="T1792" s="2871">
        <f>+U1792+V1792</f>
        <v>827.58620689655174</v>
      </c>
      <c r="U1792">
        <f>+U1791*V1792/V1791</f>
        <v>107.58620689655173</v>
      </c>
      <c r="V1792">
        <v>720</v>
      </c>
    </row>
    <row r="1793" spans="4:22" ht="13.5">
      <c r="D1793" s="3108"/>
      <c r="I1793" s="3109" t="s">
        <v>5227</v>
      </c>
      <c r="J1793" s="2828" t="s">
        <v>5228</v>
      </c>
      <c r="K1793" s="2834"/>
      <c r="L1793" s="2844"/>
      <c r="M1793" s="3110"/>
      <c r="N1793" s="2844"/>
      <c r="O1793" s="3110">
        <v>31</v>
      </c>
      <c r="P1793" s="2848">
        <f t="shared" si="86"/>
        <v>150</v>
      </c>
      <c r="Q1793" s="2850"/>
      <c r="R1793" s="3101">
        <f t="shared" si="85"/>
        <v>150</v>
      </c>
      <c r="S1793" s="3107"/>
      <c r="T1793" s="2930">
        <f>+T1791-T1792</f>
        <v>0.41379310344825626</v>
      </c>
    </row>
    <row r="1794" spans="4:22" ht="13.5">
      <c r="D1794" s="3108"/>
      <c r="I1794" s="3109" t="s">
        <v>5287</v>
      </c>
      <c r="J1794" s="2828" t="s">
        <v>5288</v>
      </c>
      <c r="K1794" s="2834"/>
      <c r="L1794" s="2844"/>
      <c r="M1794" s="3110"/>
      <c r="N1794" s="2844"/>
      <c r="O1794" s="3110">
        <v>32</v>
      </c>
      <c r="P1794" s="2848">
        <f t="shared" si="86"/>
        <v>150</v>
      </c>
      <c r="Q1794" s="2850"/>
      <c r="R1794" s="3101">
        <f t="shared" si="85"/>
        <v>150</v>
      </c>
      <c r="S1794" s="3107"/>
      <c r="T1794" s="2871">
        <v>150</v>
      </c>
      <c r="U1794" s="2983">
        <f>+T1794-T1793</f>
        <v>149.58620689655174</v>
      </c>
    </row>
    <row r="1795" spans="4:22" ht="13.5">
      <c r="D1795" s="3108"/>
      <c r="I1795" s="3109" t="s">
        <v>5100</v>
      </c>
      <c r="J1795" s="2828" t="s">
        <v>5229</v>
      </c>
      <c r="K1795" s="2834"/>
      <c r="L1795" s="2844"/>
      <c r="M1795" s="3110"/>
      <c r="N1795" s="2844"/>
      <c r="O1795" s="3110">
        <v>35</v>
      </c>
      <c r="P1795" s="2848">
        <f t="shared" si="86"/>
        <v>150</v>
      </c>
      <c r="Q1795" s="2850"/>
      <c r="R1795" s="3101">
        <f t="shared" si="85"/>
        <v>150</v>
      </c>
      <c r="S1795" s="3107"/>
      <c r="T1795" s="2871"/>
    </row>
    <row r="1796" spans="4:22" ht="13.5">
      <c r="D1796" s="3108"/>
      <c r="I1796" s="3109" t="s">
        <v>5230</v>
      </c>
      <c r="J1796" s="2828" t="s">
        <v>5231</v>
      </c>
      <c r="K1796" s="2834"/>
      <c r="L1796" s="2844"/>
      <c r="M1796" s="3110"/>
      <c r="N1796" s="2844"/>
      <c r="O1796" s="3110"/>
      <c r="P1796" s="2848">
        <f t="shared" si="86"/>
        <v>0</v>
      </c>
      <c r="Q1796" s="2850"/>
      <c r="R1796" s="3101">
        <f t="shared" si="85"/>
        <v>0</v>
      </c>
      <c r="S1796" s="3107"/>
      <c r="T1796" s="2973"/>
    </row>
    <row r="1797" spans="4:22" ht="13.5">
      <c r="D1797" s="3108"/>
      <c r="H1797" s="3024" t="s">
        <v>5362</v>
      </c>
      <c r="I1797" s="3025" t="s">
        <v>5120</v>
      </c>
      <c r="J1797" s="3026" t="s">
        <v>3321</v>
      </c>
      <c r="K1797" s="3027"/>
      <c r="L1797" s="3028">
        <f>+K1797*3</f>
        <v>0</v>
      </c>
      <c r="M1797" s="3029"/>
      <c r="N1797" s="3028">
        <v>0</v>
      </c>
      <c r="O1797" s="3030"/>
      <c r="P1797" s="3031">
        <f t="shared" si="86"/>
        <v>0</v>
      </c>
      <c r="Q1797" s="3032"/>
      <c r="R1797" s="3104">
        <f t="shared" si="85"/>
        <v>0</v>
      </c>
      <c r="S1797" s="3107"/>
      <c r="T1797" s="2871"/>
      <c r="V1797">
        <f>+U1800</f>
        <v>24</v>
      </c>
    </row>
    <row r="1798" spans="4:22" ht="13.5">
      <c r="D1798" s="3108"/>
      <c r="I1798" s="3109" t="s">
        <v>5232</v>
      </c>
      <c r="J1798" s="2828" t="s">
        <v>5233</v>
      </c>
      <c r="K1798" s="2834"/>
      <c r="L1798" s="2844"/>
      <c r="M1798" s="3110"/>
      <c r="N1798" s="2844"/>
      <c r="O1798" s="3110">
        <v>37</v>
      </c>
      <c r="P1798" s="2848">
        <f t="shared" si="86"/>
        <v>150</v>
      </c>
      <c r="Q1798" s="2850"/>
      <c r="R1798" s="3101">
        <f t="shared" si="85"/>
        <v>150</v>
      </c>
      <c r="S1798" s="3107"/>
      <c r="T1798" s="2871"/>
      <c r="U1798">
        <v>16</v>
      </c>
      <c r="V1798">
        <v>6</v>
      </c>
    </row>
    <row r="1799" spans="4:22" ht="13.5">
      <c r="D1799" s="3108"/>
      <c r="I1799" s="3109" t="s">
        <v>5194</v>
      </c>
      <c r="J1799" s="2828" t="s">
        <v>5251</v>
      </c>
      <c r="K1799" s="2825"/>
      <c r="L1799" s="2844">
        <v>0</v>
      </c>
      <c r="M1799" s="2826"/>
      <c r="N1799" s="2844">
        <v>0</v>
      </c>
      <c r="O1799" s="3110">
        <v>2</v>
      </c>
      <c r="P1799" s="2848">
        <f t="shared" si="86"/>
        <v>12</v>
      </c>
      <c r="Q1799" s="2850"/>
      <c r="R1799" s="3101">
        <f t="shared" si="85"/>
        <v>12</v>
      </c>
      <c r="S1799" s="3107"/>
      <c r="T1799" s="2871"/>
      <c r="U1799">
        <v>8</v>
      </c>
      <c r="V1799">
        <f>+V1797*V1798</f>
        <v>144</v>
      </c>
    </row>
    <row r="1800" spans="4:22" ht="13.5">
      <c r="D1800" s="3108"/>
      <c r="I1800" s="3109" t="s">
        <v>5285</v>
      </c>
      <c r="J1800" s="2830" t="s">
        <v>5284</v>
      </c>
      <c r="K1800" s="2825"/>
      <c r="L1800" s="2844">
        <v>0</v>
      </c>
      <c r="M1800" s="2826"/>
      <c r="N1800" s="2844">
        <f>+M1800*3</f>
        <v>0</v>
      </c>
      <c r="O1800" s="2827"/>
      <c r="P1800" s="2848">
        <f t="shared" si="86"/>
        <v>0</v>
      </c>
      <c r="Q1800" s="2849"/>
      <c r="R1800" s="3101">
        <f t="shared" si="85"/>
        <v>0</v>
      </c>
      <c r="S1800" s="3107"/>
      <c r="T1800" s="2871"/>
      <c r="U1800">
        <f>+U1799+U1798+U1797</f>
        <v>24</v>
      </c>
    </row>
    <row r="1801" spans="4:22" ht="13.5">
      <c r="D1801" s="3108"/>
      <c r="I1801" s="3109" t="s">
        <v>5121</v>
      </c>
      <c r="J1801" s="2830" t="s">
        <v>5122</v>
      </c>
      <c r="K1801" s="2825"/>
      <c r="L1801" s="2844">
        <v>0</v>
      </c>
      <c r="M1801" s="2826"/>
      <c r="N1801" s="2844">
        <v>0</v>
      </c>
      <c r="O1801" s="3110">
        <v>32</v>
      </c>
      <c r="P1801" s="2848">
        <f t="shared" si="86"/>
        <v>150</v>
      </c>
      <c r="Q1801" s="2849">
        <f>5*6</f>
        <v>30</v>
      </c>
      <c r="R1801" s="3101">
        <f t="shared" si="85"/>
        <v>180</v>
      </c>
      <c r="S1801" s="3107"/>
      <c r="T1801" s="2871"/>
    </row>
    <row r="1802" spans="4:22" ht="13.5">
      <c r="D1802" s="3108"/>
      <c r="I1802" s="3109" t="s">
        <v>5235</v>
      </c>
      <c r="J1802" s="2830" t="s">
        <v>5320</v>
      </c>
      <c r="K1802" s="2825"/>
      <c r="L1802" s="2844">
        <v>0</v>
      </c>
      <c r="M1802" s="2826"/>
      <c r="N1802" s="2844">
        <f>+M1802*3</f>
        <v>0</v>
      </c>
      <c r="O1802" s="3110">
        <v>42</v>
      </c>
      <c r="P1802" s="2848">
        <f t="shared" si="86"/>
        <v>150</v>
      </c>
      <c r="Q1802" s="2849"/>
      <c r="R1802" s="3101">
        <f t="shared" si="85"/>
        <v>150</v>
      </c>
      <c r="S1802" s="3107"/>
      <c r="T1802" s="2871"/>
    </row>
    <row r="1803" spans="4:22" ht="13.5">
      <c r="D1803" s="3108"/>
      <c r="I1803" s="3109" t="s">
        <v>5237</v>
      </c>
      <c r="J1803" s="2828" t="s">
        <v>5238</v>
      </c>
      <c r="K1803" s="3109"/>
      <c r="L1803" s="2844">
        <f>+K1803*3</f>
        <v>0</v>
      </c>
      <c r="M1803" s="3110"/>
      <c r="N1803" s="2844">
        <v>0</v>
      </c>
      <c r="O1803" s="3110">
        <v>2</v>
      </c>
      <c r="P1803" s="2848">
        <f t="shared" ref="P1803:P1812" si="87">IF(O1803&gt;25,150,(O1803)*6)</f>
        <v>12</v>
      </c>
      <c r="Q1803" s="2850"/>
      <c r="R1803" s="3101">
        <f>+L1803+N1803+P1803+Q1803</f>
        <v>12</v>
      </c>
      <c r="S1803" s="3087"/>
      <c r="T1803" s="2871"/>
    </row>
    <row r="1804" spans="4:22" ht="13.5">
      <c r="D1804" s="3108"/>
      <c r="I1804" s="3072" t="s">
        <v>5101</v>
      </c>
      <c r="J1804" s="3073" t="s">
        <v>5289</v>
      </c>
      <c r="K1804" s="3078"/>
      <c r="L1804" s="3075">
        <f>+K1804*3</f>
        <v>0</v>
      </c>
      <c r="M1804" s="3079">
        <v>14</v>
      </c>
      <c r="N1804" s="3075">
        <v>0</v>
      </c>
      <c r="O1804" s="3076">
        <v>1</v>
      </c>
      <c r="P1804" s="2848">
        <f t="shared" si="87"/>
        <v>6</v>
      </c>
      <c r="Q1804" s="2850">
        <f>10+40</f>
        <v>50</v>
      </c>
      <c r="R1804" s="3102">
        <f>+L1804+N1804+P1804+Q1804</f>
        <v>56</v>
      </c>
      <c r="S1804" s="3107"/>
      <c r="T1804" s="2871"/>
    </row>
    <row r="1805" spans="4:22" ht="13.5">
      <c r="D1805" s="3108"/>
      <c r="I1805" s="3109" t="s">
        <v>5102</v>
      </c>
      <c r="J1805" s="2830" t="s">
        <v>5098</v>
      </c>
      <c r="K1805" s="2825"/>
      <c r="L1805" s="2844">
        <f>+K1805*3</f>
        <v>0</v>
      </c>
      <c r="M1805" s="2826">
        <v>20</v>
      </c>
      <c r="N1805" s="2844">
        <f>+M1805*3</f>
        <v>60</v>
      </c>
      <c r="O1805" s="3110"/>
      <c r="P1805" s="2847">
        <f t="shared" si="87"/>
        <v>0</v>
      </c>
      <c r="Q1805" s="2849">
        <f>5*5</f>
        <v>25</v>
      </c>
      <c r="R1805" s="3101">
        <f>+L1805+N1805+P1805+Q1805</f>
        <v>85</v>
      </c>
      <c r="S1805" s="3107"/>
      <c r="T1805" s="2871"/>
    </row>
    <row r="1806" spans="4:22" ht="13.5">
      <c r="D1806" s="3108"/>
      <c r="I1806" s="3109" t="s">
        <v>5103</v>
      </c>
      <c r="J1806" s="2828" t="s">
        <v>5410</v>
      </c>
      <c r="K1806" s="2834"/>
      <c r="L1806" s="2844"/>
      <c r="M1806" s="3110">
        <v>13</v>
      </c>
      <c r="N1806" s="2844">
        <v>0</v>
      </c>
      <c r="O1806" s="3110"/>
      <c r="P1806" s="2848">
        <f t="shared" si="87"/>
        <v>0</v>
      </c>
      <c r="Q1806" s="2850">
        <f>5*5</f>
        <v>25</v>
      </c>
      <c r="R1806" s="3101">
        <f>+L1806+N1806+P1806+Q1806</f>
        <v>25</v>
      </c>
      <c r="S1806" s="3087"/>
      <c r="T1806" s="2871"/>
    </row>
    <row r="1807" spans="4:22" ht="13.5">
      <c r="D1807" s="3108"/>
      <c r="I1807" s="3072" t="s">
        <v>5324</v>
      </c>
      <c r="J1807" s="3073" t="s">
        <v>5325</v>
      </c>
      <c r="K1807" s="3074"/>
      <c r="L1807" s="3075"/>
      <c r="M1807" s="3076"/>
      <c r="N1807" s="3075"/>
      <c r="O1807" s="3076">
        <v>27</v>
      </c>
      <c r="P1807" s="2848">
        <f t="shared" si="87"/>
        <v>150</v>
      </c>
      <c r="Q1807" s="2850"/>
      <c r="R1807" s="3102">
        <f>+L1807+N1807+P1807+Q1807</f>
        <v>150</v>
      </c>
      <c r="S1807" s="3087"/>
      <c r="T1807" s="2871"/>
    </row>
    <row r="1808" spans="4:22" ht="13.5">
      <c r="D1808" s="3108"/>
      <c r="I1808" s="3072" t="s">
        <v>5312</v>
      </c>
      <c r="J1808" s="3073" t="s">
        <v>5313</v>
      </c>
      <c r="K1808" s="3074"/>
      <c r="L1808" s="3075">
        <v>0</v>
      </c>
      <c r="M1808" s="3076"/>
      <c r="N1808" s="3075">
        <f>+M1808*3</f>
        <v>0</v>
      </c>
      <c r="O1808" s="3076">
        <v>31</v>
      </c>
      <c r="P1808" s="2848">
        <f t="shared" si="87"/>
        <v>150</v>
      </c>
      <c r="Q1808" s="2850"/>
      <c r="R1808" s="3102">
        <f t="shared" ref="R1808:R1813" si="88">+L1808+N1808+P1808+Q1808</f>
        <v>150</v>
      </c>
      <c r="S1808" s="3087"/>
      <c r="T1808" s="2871"/>
    </row>
    <row r="1809" spans="4:22" ht="13.5">
      <c r="D1809" s="3108"/>
      <c r="I1809" s="3109" t="s">
        <v>5375</v>
      </c>
      <c r="J1809" s="2828" t="s">
        <v>5376</v>
      </c>
      <c r="K1809" s="2834"/>
      <c r="L1809" s="2844">
        <v>0</v>
      </c>
      <c r="M1809" s="3110"/>
      <c r="N1809" s="2844">
        <v>0</v>
      </c>
      <c r="O1809" s="3110">
        <v>31</v>
      </c>
      <c r="P1809" s="2848">
        <f t="shared" si="87"/>
        <v>150</v>
      </c>
      <c r="Q1809" s="2850"/>
      <c r="R1809" s="3101">
        <f t="shared" si="88"/>
        <v>150</v>
      </c>
      <c r="S1809" s="3087"/>
      <c r="T1809" s="2871"/>
    </row>
    <row r="1810" spans="4:22" ht="13.5">
      <c r="D1810" s="3108"/>
      <c r="I1810" s="3109" t="s">
        <v>5377</v>
      </c>
      <c r="J1810" s="2830" t="s">
        <v>5378</v>
      </c>
      <c r="K1810" s="2825"/>
      <c r="L1810" s="2844">
        <v>0</v>
      </c>
      <c r="M1810" s="2826">
        <v>15</v>
      </c>
      <c r="N1810" s="2844">
        <v>0</v>
      </c>
      <c r="O1810" s="3110"/>
      <c r="P1810" s="2848">
        <f t="shared" si="87"/>
        <v>0</v>
      </c>
      <c r="Q1810" s="2849">
        <f>5*4</f>
        <v>20</v>
      </c>
      <c r="R1810" s="3101">
        <f t="shared" si="88"/>
        <v>20</v>
      </c>
      <c r="S1810" s="3107"/>
      <c r="T1810" s="2871"/>
    </row>
    <row r="1811" spans="4:22" ht="13.5">
      <c r="D1811" s="3108"/>
      <c r="I1811" s="3109" t="s">
        <v>5406</v>
      </c>
      <c r="J1811" s="2830" t="s">
        <v>5407</v>
      </c>
      <c r="K1811" s="2825"/>
      <c r="L1811" s="2844">
        <v>0</v>
      </c>
      <c r="M1811" s="2826">
        <v>11</v>
      </c>
      <c r="N1811" s="2844">
        <v>0</v>
      </c>
      <c r="O1811" s="3110">
        <v>1</v>
      </c>
      <c r="P1811" s="2848">
        <f t="shared" si="87"/>
        <v>6</v>
      </c>
      <c r="Q1811" s="2849">
        <f>10+40</f>
        <v>50</v>
      </c>
      <c r="R1811" s="3101">
        <f>+L1811+N1811+P1811+Q1811</f>
        <v>56</v>
      </c>
      <c r="S1811" s="3107"/>
      <c r="T1811" s="2871"/>
    </row>
    <row r="1812" spans="4:22" ht="13.5">
      <c r="D1812" s="3108"/>
      <c r="I1812" s="2837" t="s">
        <v>5415</v>
      </c>
      <c r="J1812" s="2880" t="s">
        <v>5416</v>
      </c>
      <c r="K1812" s="2881"/>
      <c r="L1812" s="2882">
        <v>0</v>
      </c>
      <c r="M1812" s="2883">
        <v>16</v>
      </c>
      <c r="N1812" s="2882">
        <v>0</v>
      </c>
      <c r="O1812" s="2972"/>
      <c r="P1812" s="2885">
        <f t="shared" si="87"/>
        <v>0</v>
      </c>
      <c r="Q1812" s="2886">
        <v>10</v>
      </c>
      <c r="R1812" s="3105">
        <f t="shared" si="88"/>
        <v>10</v>
      </c>
      <c r="S1812" s="3107"/>
      <c r="T1812" s="2871"/>
    </row>
    <row r="1813" spans="4:22" ht="13.5">
      <c r="D1813" s="3108"/>
      <c r="I1813" s="2839"/>
      <c r="J1813" s="2840"/>
      <c r="K1813" s="2963">
        <f t="shared" ref="K1813:Q1813" si="89">SUM(K1777:K1812)</f>
        <v>0</v>
      </c>
      <c r="L1813" s="2964">
        <f t="shared" si="89"/>
        <v>0</v>
      </c>
      <c r="M1813" s="2877">
        <f t="shared" si="89"/>
        <v>188</v>
      </c>
      <c r="N1813" s="2879">
        <f t="shared" si="89"/>
        <v>166</v>
      </c>
      <c r="O1813" s="2877">
        <f t="shared" si="89"/>
        <v>458</v>
      </c>
      <c r="P1813" s="2879">
        <f t="shared" si="89"/>
        <v>2046</v>
      </c>
      <c r="Q1813" s="2879">
        <f t="shared" si="89"/>
        <v>375</v>
      </c>
      <c r="R1813" s="2878">
        <f t="shared" si="88"/>
        <v>2587</v>
      </c>
      <c r="S1813" s="3088"/>
      <c r="T1813" s="2871"/>
    </row>
    <row r="1814" spans="4:22">
      <c r="D1814" s="3108"/>
      <c r="N1814" s="1098" t="s">
        <v>5395</v>
      </c>
      <c r="O1814" s="3108">
        <v>62</v>
      </c>
    </row>
    <row r="1815" spans="4:22">
      <c r="D1815" s="3108"/>
      <c r="N1815" s="3067" t="s">
        <v>5394</v>
      </c>
      <c r="O1815" s="3066">
        <f>+O1814+O1813</f>
        <v>520</v>
      </c>
      <c r="R1815" s="3113">
        <f>+R1813-R1812</f>
        <v>2577</v>
      </c>
    </row>
    <row r="1816" spans="4:22">
      <c r="D1816" s="3108"/>
    </row>
    <row r="1817" spans="4:22" ht="13.5">
      <c r="D1817" s="3116"/>
      <c r="I1817" s="3830" t="s">
        <v>5417</v>
      </c>
      <c r="J1817" s="3830"/>
      <c r="K1817" s="3830"/>
      <c r="L1817" s="3830"/>
      <c r="M1817" s="3830"/>
      <c r="N1817" s="3830"/>
      <c r="O1817" s="3830"/>
      <c r="P1817" s="3830"/>
      <c r="Q1817" s="3830"/>
      <c r="R1817" s="3830"/>
      <c r="T1817" s="2873"/>
    </row>
    <row r="1818" spans="4:22" ht="13.5">
      <c r="D1818" s="3116"/>
      <c r="I1818" s="2821"/>
      <c r="J1818" s="2821"/>
      <c r="K1818" s="3831" t="s">
        <v>5286</v>
      </c>
      <c r="L1818" s="3832"/>
      <c r="M1818" s="3832"/>
      <c r="N1818" s="3833"/>
      <c r="O1818" s="3832" t="s">
        <v>4643</v>
      </c>
      <c r="P1818" s="3833"/>
      <c r="Q1818" s="2821"/>
      <c r="R1818" s="2821"/>
      <c r="T1818" s="2873"/>
    </row>
    <row r="1819" spans="4:22" ht="40.5">
      <c r="D1819" s="3116"/>
      <c r="I1819" s="2841" t="s">
        <v>1600</v>
      </c>
      <c r="J1819" s="2841" t="s">
        <v>2067</v>
      </c>
      <c r="K1819" s="2953" t="s">
        <v>5131</v>
      </c>
      <c r="L1819" s="2953" t="s">
        <v>5342</v>
      </c>
      <c r="M1819" s="2822" t="s">
        <v>5131</v>
      </c>
      <c r="N1819" s="2822" t="s">
        <v>5419</v>
      </c>
      <c r="O1819" s="2822" t="s">
        <v>5131</v>
      </c>
      <c r="P1819" s="2822" t="s">
        <v>5418</v>
      </c>
      <c r="Q1819" s="2822" t="s">
        <v>5420</v>
      </c>
      <c r="R1819" s="2842" t="s">
        <v>5294</v>
      </c>
      <c r="S1819" s="3115"/>
      <c r="T1819" s="2873"/>
    </row>
    <row r="1820" spans="4:22" ht="13.5">
      <c r="D1820" s="3116"/>
      <c r="I1820" s="2823" t="s">
        <v>5281</v>
      </c>
      <c r="J1820" s="2824" t="s">
        <v>5280</v>
      </c>
      <c r="K1820" s="2825"/>
      <c r="L1820" s="2846">
        <f>+K1820*3</f>
        <v>0</v>
      </c>
      <c r="M1820" s="2826">
        <v>11</v>
      </c>
      <c r="N1820" s="2844">
        <f>+M1820*3</f>
        <v>33</v>
      </c>
      <c r="O1820" s="2827"/>
      <c r="P1820" s="2847"/>
      <c r="Q1820" s="2849"/>
      <c r="R1820" s="3123">
        <f>+L1820+N1820+P1820+Q1820</f>
        <v>33</v>
      </c>
      <c r="S1820" s="3115"/>
      <c r="T1820" s="2871"/>
    </row>
    <row r="1821" spans="4:22" ht="13.5">
      <c r="D1821" s="3116"/>
      <c r="I1821" s="3117" t="s">
        <v>3050</v>
      </c>
      <c r="J1821" s="2830" t="s">
        <v>5095</v>
      </c>
      <c r="K1821" s="2825"/>
      <c r="L1821" s="2844">
        <f>+K1821*3</f>
        <v>0</v>
      </c>
      <c r="M1821" s="2826"/>
      <c r="N1821" s="2844">
        <f t="shared" ref="N1821:N1854" si="90">+M1821*3</f>
        <v>0</v>
      </c>
      <c r="O1821" s="2827"/>
      <c r="P1821" s="2847"/>
      <c r="Q1821" s="2849"/>
      <c r="R1821" s="3101">
        <f t="shared" ref="R1821:R1828" si="91">+L1821+N1821+P1821+Q1821</f>
        <v>0</v>
      </c>
      <c r="S1821" s="3115"/>
    </row>
    <row r="1822" spans="4:22" ht="13.5">
      <c r="D1822" s="3116"/>
      <c r="I1822" s="3117" t="s">
        <v>706</v>
      </c>
      <c r="J1822" s="2828" t="s">
        <v>5254</v>
      </c>
      <c r="K1822" s="2825"/>
      <c r="L1822" s="2844">
        <f>+K1822*3</f>
        <v>0</v>
      </c>
      <c r="M1822" s="2826">
        <v>17</v>
      </c>
      <c r="N1822" s="2844">
        <f>+M1822*5</f>
        <v>85</v>
      </c>
      <c r="O1822" s="3118"/>
      <c r="P1822" s="2848">
        <f>IF(O1822&gt;25,150,(O1822)*6)</f>
        <v>0</v>
      </c>
      <c r="Q1822" s="2850"/>
      <c r="R1822" s="3101">
        <f t="shared" si="91"/>
        <v>85</v>
      </c>
      <c r="S1822" s="3115"/>
      <c r="T1822" s="2871"/>
      <c r="U1822" s="3828">
        <v>43180</v>
      </c>
      <c r="V1822" s="3829"/>
    </row>
    <row r="1823" spans="4:22" ht="13.5">
      <c r="D1823" s="3116"/>
      <c r="I1823" s="3072" t="s">
        <v>4269</v>
      </c>
      <c r="J1823" s="3073" t="s">
        <v>5255</v>
      </c>
      <c r="K1823" s="3074"/>
      <c r="L1823" s="3075"/>
      <c r="M1823" s="3076"/>
      <c r="N1823" s="2844">
        <f t="shared" si="90"/>
        <v>0</v>
      </c>
      <c r="O1823" s="3076">
        <v>37</v>
      </c>
      <c r="P1823" s="2848">
        <f>IF(O1823&gt;25,150,(O1823)*6)</f>
        <v>150</v>
      </c>
      <c r="Q1823" s="2850"/>
      <c r="R1823" s="3102">
        <f t="shared" si="91"/>
        <v>150</v>
      </c>
      <c r="S1823" s="3115"/>
      <c r="T1823" s="2871"/>
    </row>
    <row r="1824" spans="4:22" ht="13.5">
      <c r="D1824" s="3116"/>
      <c r="I1824" s="3117" t="s">
        <v>290</v>
      </c>
      <c r="J1824" s="2830" t="s">
        <v>464</v>
      </c>
      <c r="K1824" s="2825"/>
      <c r="L1824" s="2844">
        <f>+K1824*5</f>
        <v>0</v>
      </c>
      <c r="M1824" s="2826">
        <v>2</v>
      </c>
      <c r="N1824" s="2844">
        <f>5*M1824</f>
        <v>10</v>
      </c>
      <c r="O1824" s="2827"/>
      <c r="P1824" s="2847">
        <v>0</v>
      </c>
      <c r="Q1824" s="2849"/>
      <c r="R1824" s="3101">
        <f t="shared" si="91"/>
        <v>10</v>
      </c>
      <c r="S1824" s="3115"/>
      <c r="T1824" s="2871"/>
    </row>
    <row r="1825" spans="4:22" ht="13.5">
      <c r="D1825" s="3116"/>
      <c r="I1825" s="3117" t="s">
        <v>646</v>
      </c>
      <c r="J1825" s="2828" t="s">
        <v>5318</v>
      </c>
      <c r="K1825" s="2825"/>
      <c r="L1825" s="2844">
        <f>+K1825*3</f>
        <v>0</v>
      </c>
      <c r="M1825" s="3118">
        <v>15</v>
      </c>
      <c r="N1825" s="2844">
        <f>+M1825*5</f>
        <v>75</v>
      </c>
      <c r="O1825" s="3118"/>
      <c r="P1825" s="2848">
        <f t="shared" ref="P1825:P1845" si="92">IF(O1825&gt;25,150,(O1825)*6)</f>
        <v>0</v>
      </c>
      <c r="Q1825" s="2850"/>
      <c r="R1825" s="3102">
        <f t="shared" si="91"/>
        <v>75</v>
      </c>
      <c r="S1825" s="3115"/>
      <c r="T1825" s="2871"/>
    </row>
    <row r="1826" spans="4:22" ht="13.5">
      <c r="D1826" s="3116"/>
      <c r="I1826" s="3117" t="s">
        <v>5217</v>
      </c>
      <c r="J1826" s="2828" t="s">
        <v>5218</v>
      </c>
      <c r="K1826" s="2825"/>
      <c r="L1826" s="2844">
        <v>0</v>
      </c>
      <c r="M1826" s="3118">
        <v>15</v>
      </c>
      <c r="N1826" s="2844">
        <f>+M1826*5</f>
        <v>75</v>
      </c>
      <c r="O1826" s="3118"/>
      <c r="P1826" s="2848">
        <f t="shared" si="92"/>
        <v>0</v>
      </c>
      <c r="Q1826" s="2850"/>
      <c r="R1826" s="3102">
        <f t="shared" si="91"/>
        <v>75</v>
      </c>
      <c r="S1826" s="3115"/>
      <c r="T1826" s="2871"/>
    </row>
    <row r="1827" spans="4:22" ht="13.5">
      <c r="D1827" s="3116"/>
      <c r="I1827" s="3117" t="s">
        <v>416</v>
      </c>
      <c r="J1827" s="2828" t="s">
        <v>5219</v>
      </c>
      <c r="K1827" s="2834"/>
      <c r="L1827" s="2844"/>
      <c r="M1827" s="3118">
        <v>15</v>
      </c>
      <c r="N1827" s="2844">
        <f>+M1827*5</f>
        <v>75</v>
      </c>
      <c r="O1827" s="3118"/>
      <c r="P1827" s="2848">
        <f t="shared" si="92"/>
        <v>0</v>
      </c>
      <c r="Q1827" s="2850"/>
      <c r="R1827" s="3102">
        <f t="shared" si="91"/>
        <v>75</v>
      </c>
      <c r="S1827" s="3115"/>
      <c r="T1827" s="2871"/>
    </row>
    <row r="1828" spans="4:22" ht="13.5">
      <c r="D1828" s="3116"/>
      <c r="I1828" s="3117" t="s">
        <v>5295</v>
      </c>
      <c r="J1828" s="2828" t="s">
        <v>5224</v>
      </c>
      <c r="K1828" s="2834"/>
      <c r="L1828" s="2844"/>
      <c r="M1828" s="3118">
        <v>13</v>
      </c>
      <c r="N1828" s="2844">
        <f t="shared" si="90"/>
        <v>39</v>
      </c>
      <c r="O1828" s="3118"/>
      <c r="P1828" s="2848">
        <f t="shared" si="92"/>
        <v>0</v>
      </c>
      <c r="Q1828" s="2850"/>
      <c r="R1828" s="3102">
        <f t="shared" si="91"/>
        <v>39</v>
      </c>
      <c r="S1828" s="3115"/>
      <c r="T1828" s="2871"/>
    </row>
    <row r="1829" spans="4:22" ht="13.5">
      <c r="D1829" s="3116"/>
      <c r="I1829" s="3117" t="s">
        <v>5128</v>
      </c>
      <c r="J1829" s="2828" t="s">
        <v>5220</v>
      </c>
      <c r="K1829" s="2825"/>
      <c r="L1829" s="2844">
        <v>0</v>
      </c>
      <c r="M1829" s="2826"/>
      <c r="N1829" s="2844">
        <f t="shared" si="90"/>
        <v>0</v>
      </c>
      <c r="O1829" s="3118"/>
      <c r="P1829" s="2848">
        <f t="shared" si="92"/>
        <v>0</v>
      </c>
      <c r="Q1829" s="2850"/>
      <c r="R1829" s="3101">
        <f t="shared" ref="R1829:R1845" si="93">+L1829+N1829+P1829+Q1829</f>
        <v>0</v>
      </c>
      <c r="S1829" s="3115"/>
      <c r="T1829" s="3126">
        <v>860</v>
      </c>
      <c r="U1829" s="3127">
        <v>111.8</v>
      </c>
      <c r="V1829" s="3128">
        <v>748.2</v>
      </c>
    </row>
    <row r="1830" spans="4:22" ht="13.5">
      <c r="D1830" s="3116"/>
      <c r="I1830" s="3117" t="s">
        <v>5118</v>
      </c>
      <c r="J1830" s="2830" t="s">
        <v>5319</v>
      </c>
      <c r="K1830" s="2825"/>
      <c r="L1830" s="2844">
        <f>+K1830*3</f>
        <v>0</v>
      </c>
      <c r="M1830" s="2826">
        <v>18</v>
      </c>
      <c r="N1830" s="2844">
        <f>+M1830*6</f>
        <v>108</v>
      </c>
      <c r="O1830" s="3118"/>
      <c r="P1830" s="2848">
        <f t="shared" si="92"/>
        <v>0</v>
      </c>
      <c r="Q1830" s="2849"/>
      <c r="R1830" s="3101">
        <f t="shared" si="93"/>
        <v>108</v>
      </c>
      <c r="S1830" s="3115"/>
      <c r="T1830" s="3129">
        <f>+U1830+V1830</f>
        <v>827.58620689655174</v>
      </c>
      <c r="U1830" s="75">
        <f>+U1829*V1830/V1829</f>
        <v>107.58620689655172</v>
      </c>
      <c r="V1830" s="3125">
        <v>720</v>
      </c>
    </row>
    <row r="1831" spans="4:22" ht="13.5">
      <c r="D1831" s="3116"/>
      <c r="H1831" s="3024" t="s">
        <v>5362</v>
      </c>
      <c r="I1831" s="3025" t="s">
        <v>929</v>
      </c>
      <c r="J1831" s="3026" t="s">
        <v>5384</v>
      </c>
      <c r="K1831" s="3027"/>
      <c r="L1831" s="3028">
        <f>+K1831*3</f>
        <v>0</v>
      </c>
      <c r="M1831" s="3029"/>
      <c r="N1831" s="3028">
        <f t="shared" si="90"/>
        <v>0</v>
      </c>
      <c r="O1831" s="3030"/>
      <c r="P1831" s="3031">
        <f t="shared" si="92"/>
        <v>0</v>
      </c>
      <c r="Q1831" s="3032"/>
      <c r="R1831" s="3104">
        <f t="shared" si="93"/>
        <v>0</v>
      </c>
      <c r="S1831" s="3115"/>
      <c r="T1831" s="3130">
        <f>+T1829-T1830</f>
        <v>32.413793103448256</v>
      </c>
      <c r="U1831" s="75"/>
      <c r="V1831" s="143"/>
    </row>
    <row r="1832" spans="4:22" ht="13.5">
      <c r="D1832" s="3116"/>
      <c r="I1832" s="3117" t="s">
        <v>5222</v>
      </c>
      <c r="J1832" s="2828" t="s">
        <v>5223</v>
      </c>
      <c r="K1832" s="2834"/>
      <c r="L1832" s="2844"/>
      <c r="M1832" s="3118"/>
      <c r="N1832" s="2844">
        <f t="shared" si="90"/>
        <v>0</v>
      </c>
      <c r="O1832" s="3118">
        <v>31</v>
      </c>
      <c r="P1832" s="2848">
        <f t="shared" si="92"/>
        <v>150</v>
      </c>
      <c r="Q1832" s="2850"/>
      <c r="R1832" s="3101">
        <f t="shared" si="93"/>
        <v>150</v>
      </c>
      <c r="S1832" s="3115"/>
      <c r="T1832" s="3131">
        <v>150</v>
      </c>
      <c r="U1832" s="3132">
        <f>+T1832-T1831</f>
        <v>117.58620689655174</v>
      </c>
      <c r="V1832" s="144"/>
    </row>
    <row r="1833" spans="4:22" ht="13.5">
      <c r="D1833" s="3116"/>
      <c r="I1833" s="3117" t="s">
        <v>5252</v>
      </c>
      <c r="J1833" s="2828" t="s">
        <v>5253</v>
      </c>
      <c r="K1833" s="2825"/>
      <c r="L1833" s="2844">
        <f>+K1833*3</f>
        <v>0</v>
      </c>
      <c r="M1833" s="2826"/>
      <c r="N1833" s="2844">
        <f t="shared" si="90"/>
        <v>0</v>
      </c>
      <c r="O1833" s="3118"/>
      <c r="P1833" s="2848">
        <f t="shared" si="92"/>
        <v>0</v>
      </c>
      <c r="Q1833" s="2850"/>
      <c r="R1833" s="3101">
        <f t="shared" si="93"/>
        <v>0</v>
      </c>
      <c r="S1833" s="3115"/>
      <c r="T1833" s="2871"/>
    </row>
    <row r="1834" spans="4:22" ht="13.5">
      <c r="D1834" s="3116"/>
      <c r="I1834" s="3072" t="s">
        <v>799</v>
      </c>
      <c r="J1834" s="3073" t="s">
        <v>5225</v>
      </c>
      <c r="K1834" s="3074"/>
      <c r="L1834" s="3075"/>
      <c r="M1834" s="3076"/>
      <c r="N1834" s="3075">
        <f t="shared" si="90"/>
        <v>0</v>
      </c>
      <c r="O1834" s="3076">
        <v>28</v>
      </c>
      <c r="P1834" s="2848">
        <f t="shared" si="92"/>
        <v>150</v>
      </c>
      <c r="Q1834" s="2850"/>
      <c r="R1834" s="3102">
        <f t="shared" si="93"/>
        <v>150</v>
      </c>
      <c r="S1834" s="3115"/>
      <c r="T1834" s="3126">
        <v>828</v>
      </c>
      <c r="U1834" s="3127">
        <v>107.64</v>
      </c>
      <c r="V1834" s="3128">
        <v>720.36</v>
      </c>
    </row>
    <row r="1835" spans="4:22" ht="13.5">
      <c r="D1835" s="3116"/>
      <c r="I1835" s="3072" t="s">
        <v>793</v>
      </c>
      <c r="J1835" s="3073" t="s">
        <v>5226</v>
      </c>
      <c r="K1835" s="3074"/>
      <c r="L1835" s="3075"/>
      <c r="M1835" s="3076"/>
      <c r="N1835" s="3075">
        <f t="shared" si="90"/>
        <v>0</v>
      </c>
      <c r="O1835" s="3076">
        <v>40</v>
      </c>
      <c r="P1835" s="2848">
        <f t="shared" si="92"/>
        <v>150</v>
      </c>
      <c r="Q1835" s="2850"/>
      <c r="R1835" s="3102">
        <f t="shared" si="93"/>
        <v>150</v>
      </c>
      <c r="S1835" s="3115"/>
      <c r="T1835" s="3129">
        <f>+U1835+V1835</f>
        <v>827.58620689655174</v>
      </c>
      <c r="U1835" s="75">
        <f>+U1834*V1835/V1834</f>
        <v>107.58620689655173</v>
      </c>
      <c r="V1835" s="3125">
        <v>720</v>
      </c>
    </row>
    <row r="1836" spans="4:22" ht="13.5">
      <c r="D1836" s="3116"/>
      <c r="I1836" s="3117" t="s">
        <v>5227</v>
      </c>
      <c r="J1836" s="2828" t="s">
        <v>5228</v>
      </c>
      <c r="K1836" s="2834"/>
      <c r="L1836" s="2844"/>
      <c r="M1836" s="3118"/>
      <c r="N1836" s="2844">
        <f t="shared" si="90"/>
        <v>0</v>
      </c>
      <c r="O1836" s="3118">
        <v>1</v>
      </c>
      <c r="P1836" s="2848">
        <f t="shared" si="92"/>
        <v>6</v>
      </c>
      <c r="Q1836" s="2850"/>
      <c r="R1836" s="3101">
        <f t="shared" si="93"/>
        <v>6</v>
      </c>
      <c r="S1836" s="3115"/>
      <c r="T1836" s="3130">
        <f>+T1834-T1835</f>
        <v>0.41379310344825626</v>
      </c>
      <c r="U1836" s="75"/>
      <c r="V1836" s="143"/>
    </row>
    <row r="1837" spans="4:22" ht="13.5">
      <c r="D1837" s="3116"/>
      <c r="I1837" s="3117" t="s">
        <v>5287</v>
      </c>
      <c r="J1837" s="2828" t="s">
        <v>5288</v>
      </c>
      <c r="K1837" s="2834"/>
      <c r="L1837" s="2844"/>
      <c r="M1837" s="3118"/>
      <c r="N1837" s="2844">
        <f t="shared" si="90"/>
        <v>0</v>
      </c>
      <c r="O1837" s="3118">
        <v>29</v>
      </c>
      <c r="P1837" s="2848">
        <f t="shared" si="92"/>
        <v>150</v>
      </c>
      <c r="Q1837" s="2850"/>
      <c r="R1837" s="3101">
        <f t="shared" si="93"/>
        <v>150</v>
      </c>
      <c r="S1837" s="3115"/>
      <c r="T1837" s="3131">
        <v>150</v>
      </c>
      <c r="U1837" s="3132">
        <f>+T1837-T1836</f>
        <v>149.58620689655174</v>
      </c>
      <c r="V1837" s="144"/>
    </row>
    <row r="1838" spans="4:22" ht="13.5">
      <c r="D1838" s="3116"/>
      <c r="I1838" s="3117" t="s">
        <v>5100</v>
      </c>
      <c r="J1838" s="2828" t="s">
        <v>5229</v>
      </c>
      <c r="K1838" s="2834"/>
      <c r="L1838" s="2844"/>
      <c r="M1838" s="3118"/>
      <c r="N1838" s="2844">
        <f t="shared" si="90"/>
        <v>0</v>
      </c>
      <c r="O1838" s="3118">
        <v>37</v>
      </c>
      <c r="P1838" s="2848">
        <f t="shared" si="92"/>
        <v>150</v>
      </c>
      <c r="Q1838" s="2850"/>
      <c r="R1838" s="3101">
        <f t="shared" si="93"/>
        <v>150</v>
      </c>
      <c r="S1838" s="3115"/>
      <c r="T1838" s="2871"/>
    </row>
    <row r="1839" spans="4:22" ht="13.5">
      <c r="D1839" s="3116"/>
      <c r="I1839" s="3117" t="s">
        <v>5230</v>
      </c>
      <c r="J1839" s="2828" t="s">
        <v>5231</v>
      </c>
      <c r="K1839" s="2834"/>
      <c r="L1839" s="2844"/>
      <c r="M1839" s="3118"/>
      <c r="N1839" s="2844">
        <f t="shared" si="90"/>
        <v>0</v>
      </c>
      <c r="O1839" s="3118"/>
      <c r="P1839" s="2848">
        <f t="shared" si="92"/>
        <v>0</v>
      </c>
      <c r="Q1839" s="2850"/>
      <c r="R1839" s="3101">
        <f t="shared" si="93"/>
        <v>0</v>
      </c>
      <c r="S1839" s="3115"/>
      <c r="T1839" s="2973"/>
    </row>
    <row r="1840" spans="4:22" ht="13.5">
      <c r="D1840" s="3116"/>
      <c r="H1840" s="3024" t="s">
        <v>5362</v>
      </c>
      <c r="I1840" s="3025" t="s">
        <v>5120</v>
      </c>
      <c r="J1840" s="3026" t="s">
        <v>3321</v>
      </c>
      <c r="K1840" s="3027"/>
      <c r="L1840" s="3028">
        <f>+K1840*3</f>
        <v>0</v>
      </c>
      <c r="M1840" s="3029"/>
      <c r="N1840" s="3028">
        <f t="shared" si="90"/>
        <v>0</v>
      </c>
      <c r="O1840" s="3030"/>
      <c r="P1840" s="3031">
        <f t="shared" si="92"/>
        <v>0</v>
      </c>
      <c r="Q1840" s="3032"/>
      <c r="R1840" s="3104">
        <f t="shared" si="93"/>
        <v>0</v>
      </c>
      <c r="S1840" s="3115"/>
      <c r="T1840" s="2871"/>
      <c r="V1840">
        <f>+U1843</f>
        <v>24</v>
      </c>
    </row>
    <row r="1841" spans="4:22" ht="13.5">
      <c r="D1841" s="3116"/>
      <c r="I1841" s="3117" t="s">
        <v>5232</v>
      </c>
      <c r="J1841" s="2828" t="s">
        <v>5233</v>
      </c>
      <c r="K1841" s="2834"/>
      <c r="L1841" s="2844"/>
      <c r="M1841" s="3118"/>
      <c r="N1841" s="2844">
        <f t="shared" si="90"/>
        <v>0</v>
      </c>
      <c r="O1841" s="3118">
        <v>41</v>
      </c>
      <c r="P1841" s="2848">
        <f t="shared" si="92"/>
        <v>150</v>
      </c>
      <c r="Q1841" s="2850"/>
      <c r="R1841" s="3101">
        <f t="shared" si="93"/>
        <v>150</v>
      </c>
      <c r="S1841" s="3115"/>
      <c r="T1841" s="2871"/>
      <c r="U1841">
        <v>16</v>
      </c>
      <c r="V1841">
        <v>6</v>
      </c>
    </row>
    <row r="1842" spans="4:22" ht="13.5">
      <c r="D1842" s="3116"/>
      <c r="I1842" s="3117" t="s">
        <v>5194</v>
      </c>
      <c r="J1842" s="2828" t="s">
        <v>5251</v>
      </c>
      <c r="K1842" s="2825"/>
      <c r="L1842" s="2844">
        <v>0</v>
      </c>
      <c r="M1842" s="2826"/>
      <c r="N1842" s="2844">
        <f t="shared" si="90"/>
        <v>0</v>
      </c>
      <c r="O1842" s="3118">
        <v>26</v>
      </c>
      <c r="P1842" s="2848">
        <f t="shared" si="92"/>
        <v>150</v>
      </c>
      <c r="Q1842" s="2850"/>
      <c r="R1842" s="3101">
        <f t="shared" si="93"/>
        <v>150</v>
      </c>
      <c r="S1842" s="3115"/>
      <c r="T1842" s="2871"/>
      <c r="U1842">
        <v>8</v>
      </c>
      <c r="V1842">
        <f>+V1840*V1841</f>
        <v>144</v>
      </c>
    </row>
    <row r="1843" spans="4:22" ht="13.5">
      <c r="D1843" s="3116"/>
      <c r="I1843" s="3117" t="s">
        <v>5285</v>
      </c>
      <c r="J1843" s="2830" t="s">
        <v>5284</v>
      </c>
      <c r="K1843" s="2825"/>
      <c r="L1843" s="2844">
        <v>0</v>
      </c>
      <c r="M1843" s="2826"/>
      <c r="N1843" s="2844">
        <f t="shared" si="90"/>
        <v>0</v>
      </c>
      <c r="O1843" s="2827"/>
      <c r="P1843" s="2848">
        <f t="shared" si="92"/>
        <v>0</v>
      </c>
      <c r="Q1843" s="2849"/>
      <c r="R1843" s="3101">
        <f t="shared" si="93"/>
        <v>0</v>
      </c>
      <c r="S1843" s="3115"/>
      <c r="T1843" s="2871"/>
      <c r="U1843">
        <f>+U1842+U1841+U1840</f>
        <v>24</v>
      </c>
    </row>
    <row r="1844" spans="4:22" ht="13.5">
      <c r="D1844" s="3116"/>
      <c r="I1844" s="3117" t="s">
        <v>5121</v>
      </c>
      <c r="J1844" s="2830" t="s">
        <v>5122</v>
      </c>
      <c r="K1844" s="2825"/>
      <c r="L1844" s="2844">
        <v>0</v>
      </c>
      <c r="M1844" s="2826"/>
      <c r="N1844" s="2844">
        <f t="shared" si="90"/>
        <v>0</v>
      </c>
      <c r="O1844" s="3118">
        <v>42</v>
      </c>
      <c r="P1844" s="2848">
        <f t="shared" si="92"/>
        <v>150</v>
      </c>
      <c r="Q1844" s="2849"/>
      <c r="R1844" s="3101">
        <f t="shared" si="93"/>
        <v>150</v>
      </c>
      <c r="S1844" s="3115"/>
      <c r="T1844" s="2871"/>
    </row>
    <row r="1845" spans="4:22" ht="13.5">
      <c r="D1845" s="3116"/>
      <c r="I1845" s="3117" t="s">
        <v>5235</v>
      </c>
      <c r="J1845" s="2830" t="s">
        <v>5320</v>
      </c>
      <c r="K1845" s="2825"/>
      <c r="L1845" s="2844">
        <v>0</v>
      </c>
      <c r="M1845" s="2826"/>
      <c r="N1845" s="2844">
        <f t="shared" si="90"/>
        <v>0</v>
      </c>
      <c r="O1845" s="3118">
        <v>33</v>
      </c>
      <c r="P1845" s="2848">
        <f t="shared" si="92"/>
        <v>150</v>
      </c>
      <c r="Q1845" s="2849"/>
      <c r="R1845" s="3101">
        <f t="shared" si="93"/>
        <v>150</v>
      </c>
      <c r="S1845" s="3115"/>
      <c r="T1845" s="2871"/>
    </row>
    <row r="1846" spans="4:22" ht="13.5">
      <c r="D1846" s="3116"/>
      <c r="I1846" s="3117" t="s">
        <v>5237</v>
      </c>
      <c r="J1846" s="2828" t="s">
        <v>5238</v>
      </c>
      <c r="K1846" s="3117"/>
      <c r="L1846" s="2844">
        <f>+K1846*3</f>
        <v>0</v>
      </c>
      <c r="M1846" s="3118"/>
      <c r="N1846" s="2844">
        <f t="shared" si="90"/>
        <v>0</v>
      </c>
      <c r="O1846" s="3118">
        <v>27</v>
      </c>
      <c r="P1846" s="2848">
        <f t="shared" ref="P1846:P1855" si="94">IF(O1846&gt;25,150,(O1846)*6)</f>
        <v>150</v>
      </c>
      <c r="Q1846" s="2850"/>
      <c r="R1846" s="3101">
        <f>+L1846+N1846+P1846+Q1846</f>
        <v>150</v>
      </c>
      <c r="S1846" s="3087"/>
      <c r="T1846" s="2871"/>
    </row>
    <row r="1847" spans="4:22" ht="13.5">
      <c r="D1847" s="3116"/>
      <c r="I1847" s="3072" t="s">
        <v>5101</v>
      </c>
      <c r="J1847" s="3073" t="s">
        <v>5289</v>
      </c>
      <c r="K1847" s="3078"/>
      <c r="L1847" s="3075">
        <f>+K1847*3</f>
        <v>0</v>
      </c>
      <c r="M1847" s="3079">
        <v>16</v>
      </c>
      <c r="N1847" s="3121">
        <f>+M1847*5+40</f>
        <v>120</v>
      </c>
      <c r="O1847" s="3076"/>
      <c r="P1847" s="2848">
        <f t="shared" si="94"/>
        <v>0</v>
      </c>
      <c r="Q1847" s="2850">
        <v>10</v>
      </c>
      <c r="R1847" s="3102">
        <f>+L1847+N1847+P1847+Q1847</f>
        <v>130</v>
      </c>
      <c r="S1847" s="3122" t="s">
        <v>5421</v>
      </c>
      <c r="T1847" s="3119"/>
      <c r="U1847" s="3120"/>
    </row>
    <row r="1848" spans="4:22" ht="13.5">
      <c r="D1848" s="3116"/>
      <c r="I1848" s="3117" t="s">
        <v>5102</v>
      </c>
      <c r="J1848" s="2830" t="s">
        <v>5098</v>
      </c>
      <c r="K1848" s="2825"/>
      <c r="L1848" s="2844">
        <f>+K1848*3</f>
        <v>0</v>
      </c>
      <c r="M1848" s="2826">
        <v>18</v>
      </c>
      <c r="N1848" s="2844">
        <f>+M1848*6</f>
        <v>108</v>
      </c>
      <c r="O1848" s="3118"/>
      <c r="P1848" s="2847">
        <f t="shared" si="94"/>
        <v>0</v>
      </c>
      <c r="Q1848" s="2849"/>
      <c r="R1848" s="3101">
        <f>+L1848+N1848+P1848+Q1848</f>
        <v>108</v>
      </c>
      <c r="S1848" s="3115"/>
      <c r="T1848" s="2871"/>
    </row>
    <row r="1849" spans="4:22" ht="13.5">
      <c r="D1849" s="3116"/>
      <c r="I1849" s="3117" t="s">
        <v>5103</v>
      </c>
      <c r="J1849" s="2828" t="s">
        <v>5410</v>
      </c>
      <c r="K1849" s="2834"/>
      <c r="L1849" s="2844"/>
      <c r="M1849" s="3118">
        <v>12</v>
      </c>
      <c r="N1849" s="3121">
        <f>+M1849*3+100</f>
        <v>136</v>
      </c>
      <c r="O1849" s="3118"/>
      <c r="P1849" s="2848">
        <f t="shared" si="94"/>
        <v>0</v>
      </c>
      <c r="Q1849" s="2850">
        <v>10</v>
      </c>
      <c r="R1849" s="3101">
        <f>+L1849+N1849+P1849+Q1849</f>
        <v>146</v>
      </c>
      <c r="S1849" s="3122" t="s">
        <v>5422</v>
      </c>
      <c r="T1849" s="3119"/>
      <c r="U1849" s="3120"/>
    </row>
    <row r="1850" spans="4:22" ht="13.5">
      <c r="D1850" s="3116"/>
      <c r="I1850" s="3072" t="s">
        <v>5324</v>
      </c>
      <c r="J1850" s="3073" t="s">
        <v>5325</v>
      </c>
      <c r="K1850" s="3074"/>
      <c r="L1850" s="3075"/>
      <c r="M1850" s="3076"/>
      <c r="N1850" s="3075">
        <f t="shared" si="90"/>
        <v>0</v>
      </c>
      <c r="O1850" s="3076">
        <v>17</v>
      </c>
      <c r="P1850" s="2848">
        <f t="shared" si="94"/>
        <v>102</v>
      </c>
      <c r="Q1850" s="2850"/>
      <c r="R1850" s="3102">
        <f>+L1850+N1850+P1850+Q1850</f>
        <v>102</v>
      </c>
      <c r="S1850" s="3087"/>
      <c r="T1850" s="2871"/>
    </row>
    <row r="1851" spans="4:22" ht="13.5">
      <c r="D1851" s="3116"/>
      <c r="I1851" s="3072" t="s">
        <v>5312</v>
      </c>
      <c r="J1851" s="3073" t="s">
        <v>5313</v>
      </c>
      <c r="K1851" s="3074"/>
      <c r="L1851" s="3075">
        <v>0</v>
      </c>
      <c r="M1851" s="3076"/>
      <c r="N1851" s="3075">
        <f t="shared" si="90"/>
        <v>0</v>
      </c>
      <c r="O1851" s="3076">
        <v>7</v>
      </c>
      <c r="P1851" s="2848">
        <f t="shared" si="94"/>
        <v>42</v>
      </c>
      <c r="Q1851" s="2850"/>
      <c r="R1851" s="3102">
        <f t="shared" ref="R1851:R1856" si="95">+L1851+N1851+P1851+Q1851</f>
        <v>42</v>
      </c>
      <c r="S1851" s="3087"/>
      <c r="T1851" s="2871"/>
    </row>
    <row r="1852" spans="4:22" ht="13.5">
      <c r="D1852" s="3116"/>
      <c r="I1852" s="3117" t="s">
        <v>5375</v>
      </c>
      <c r="J1852" s="2828" t="s">
        <v>5376</v>
      </c>
      <c r="K1852" s="2834"/>
      <c r="L1852" s="2844">
        <v>0</v>
      </c>
      <c r="M1852" s="3118"/>
      <c r="N1852" s="2844">
        <f t="shared" si="90"/>
        <v>0</v>
      </c>
      <c r="O1852" s="3118">
        <v>34</v>
      </c>
      <c r="P1852" s="2848">
        <f t="shared" si="94"/>
        <v>150</v>
      </c>
      <c r="Q1852" s="2850"/>
      <c r="R1852" s="3101">
        <f t="shared" si="95"/>
        <v>150</v>
      </c>
      <c r="S1852" s="3087"/>
      <c r="T1852" s="2871"/>
    </row>
    <row r="1853" spans="4:22" ht="13.5">
      <c r="D1853" s="3116"/>
      <c r="I1853" s="3117" t="s">
        <v>5377</v>
      </c>
      <c r="J1853" s="2830" t="s">
        <v>5378</v>
      </c>
      <c r="K1853" s="2825"/>
      <c r="L1853" s="2844">
        <v>0</v>
      </c>
      <c r="M1853" s="2826">
        <v>9</v>
      </c>
      <c r="N1853" s="2844">
        <f t="shared" si="90"/>
        <v>27</v>
      </c>
      <c r="O1853" s="3118"/>
      <c r="P1853" s="2848">
        <f t="shared" si="94"/>
        <v>0</v>
      </c>
      <c r="Q1853" s="2849"/>
      <c r="R1853" s="3101">
        <f t="shared" si="95"/>
        <v>27</v>
      </c>
      <c r="S1853" s="3115"/>
      <c r="T1853" s="2871"/>
    </row>
    <row r="1854" spans="4:22" ht="13.5">
      <c r="D1854" s="3116"/>
      <c r="I1854" s="3117" t="s">
        <v>5406</v>
      </c>
      <c r="J1854" s="2830" t="s">
        <v>5407</v>
      </c>
      <c r="K1854" s="2825"/>
      <c r="L1854" s="2844">
        <v>0</v>
      </c>
      <c r="M1854" s="2826">
        <v>11</v>
      </c>
      <c r="N1854" s="2844">
        <f t="shared" si="90"/>
        <v>33</v>
      </c>
      <c r="O1854" s="3118"/>
      <c r="P1854" s="2848">
        <f t="shared" si="94"/>
        <v>0</v>
      </c>
      <c r="Q1854" s="2849"/>
      <c r="R1854" s="3101">
        <f t="shared" si="95"/>
        <v>33</v>
      </c>
      <c r="S1854" s="3115"/>
      <c r="T1854" s="2871"/>
    </row>
    <row r="1855" spans="4:22" ht="13.5">
      <c r="D1855" s="3116"/>
      <c r="I1855" s="2837" t="s">
        <v>5415</v>
      </c>
      <c r="J1855" s="2880" t="s">
        <v>5416</v>
      </c>
      <c r="K1855" s="2881"/>
      <c r="L1855" s="2882">
        <v>0</v>
      </c>
      <c r="M1855" s="2883">
        <v>15</v>
      </c>
      <c r="N1855" s="2882">
        <f>+M1855*5</f>
        <v>75</v>
      </c>
      <c r="O1855" s="2972"/>
      <c r="P1855" s="2885">
        <f t="shared" si="94"/>
        <v>0</v>
      </c>
      <c r="Q1855" s="2886"/>
      <c r="R1855" s="3105">
        <f t="shared" si="95"/>
        <v>75</v>
      </c>
      <c r="S1855" s="3115"/>
      <c r="T1855" s="2871"/>
    </row>
    <row r="1856" spans="4:22" ht="13.5">
      <c r="D1856" s="3116"/>
      <c r="I1856" s="2839"/>
      <c r="J1856" s="2840"/>
      <c r="K1856" s="2963">
        <f t="shared" ref="K1856:Q1856" si="96">SUM(K1820:K1855)</f>
        <v>0</v>
      </c>
      <c r="L1856" s="2964">
        <f t="shared" si="96"/>
        <v>0</v>
      </c>
      <c r="M1856" s="2877">
        <f t="shared" si="96"/>
        <v>187</v>
      </c>
      <c r="N1856" s="2879">
        <f t="shared" si="96"/>
        <v>999</v>
      </c>
      <c r="O1856" s="2877">
        <f t="shared" si="96"/>
        <v>430</v>
      </c>
      <c r="P1856" s="2879">
        <f t="shared" si="96"/>
        <v>1950</v>
      </c>
      <c r="Q1856" s="2879">
        <f t="shared" si="96"/>
        <v>20</v>
      </c>
      <c r="R1856" s="2878">
        <f t="shared" si="95"/>
        <v>2969</v>
      </c>
      <c r="S1856" s="3088"/>
      <c r="T1856" s="2871"/>
    </row>
    <row r="1857" spans="4:22">
      <c r="D1857" s="3116"/>
      <c r="N1857" s="1098" t="s">
        <v>5395</v>
      </c>
      <c r="O1857" s="3066">
        <f>+O1858-O1856</f>
        <v>0</v>
      </c>
      <c r="P1857" s="1081">
        <f>+P1858-P1856</f>
        <v>12</v>
      </c>
    </row>
    <row r="1858" spans="4:22">
      <c r="D1858" s="3116"/>
      <c r="N1858" s="3067" t="s">
        <v>5394</v>
      </c>
      <c r="O1858" s="3066">
        <v>430</v>
      </c>
      <c r="P1858" s="1081">
        <v>1962</v>
      </c>
      <c r="Q1858" s="2051" t="s">
        <v>5423</v>
      </c>
      <c r="R1858" s="3124">
        <f>+R1856-R1855</f>
        <v>2894</v>
      </c>
    </row>
    <row r="1860" spans="4:22" ht="13.5">
      <c r="D1860" s="3138"/>
      <c r="I1860" s="3830" t="s">
        <v>5424</v>
      </c>
      <c r="J1860" s="3830"/>
      <c r="K1860" s="3830"/>
      <c r="L1860" s="3830"/>
      <c r="M1860" s="3830"/>
      <c r="N1860" s="3830"/>
      <c r="O1860" s="3830"/>
      <c r="P1860" s="3830"/>
      <c r="Q1860" s="3830"/>
      <c r="R1860" s="3830"/>
      <c r="T1860" s="2873"/>
    </row>
    <row r="1861" spans="4:22" ht="13.5">
      <c r="D1861" s="3138"/>
      <c r="I1861" s="2821"/>
      <c r="J1861" s="2821"/>
      <c r="K1861" s="3831" t="s">
        <v>5286</v>
      </c>
      <c r="L1861" s="3832"/>
      <c r="M1861" s="3832"/>
      <c r="N1861" s="3833"/>
      <c r="O1861" s="3832" t="s">
        <v>4643</v>
      </c>
      <c r="P1861" s="3833"/>
      <c r="Q1861" s="2821"/>
      <c r="R1861" s="2821"/>
      <c r="T1861" s="2873"/>
    </row>
    <row r="1862" spans="4:22" ht="40.5">
      <c r="D1862" s="3138"/>
      <c r="I1862" s="2841" t="s">
        <v>1600</v>
      </c>
      <c r="J1862" s="2841" t="s">
        <v>2067</v>
      </c>
      <c r="K1862" s="2953" t="s">
        <v>5131</v>
      </c>
      <c r="L1862" s="2953" t="s">
        <v>5342</v>
      </c>
      <c r="M1862" s="2822" t="s">
        <v>5131</v>
      </c>
      <c r="N1862" s="2822" t="s">
        <v>5425</v>
      </c>
      <c r="O1862" s="2822" t="s">
        <v>5131</v>
      </c>
      <c r="P1862" s="2822" t="s">
        <v>5426</v>
      </c>
      <c r="Q1862" s="2822" t="s">
        <v>5427</v>
      </c>
      <c r="R1862" s="2842" t="s">
        <v>5294</v>
      </c>
      <c r="S1862" s="3139"/>
      <c r="T1862" s="2873"/>
    </row>
    <row r="1863" spans="4:22" ht="13.5">
      <c r="D1863" s="3138"/>
      <c r="I1863" s="2823" t="s">
        <v>5281</v>
      </c>
      <c r="J1863" s="2824" t="s">
        <v>5280</v>
      </c>
      <c r="K1863" s="2825"/>
      <c r="L1863" s="2846">
        <f>+K1863*3</f>
        <v>0</v>
      </c>
      <c r="M1863" s="2826">
        <v>3</v>
      </c>
      <c r="N1863" s="2844">
        <v>0</v>
      </c>
      <c r="O1863" s="2827"/>
      <c r="P1863" s="2847"/>
      <c r="Q1863" s="2849"/>
      <c r="R1863" s="3123">
        <f>+L1863+N1863+P1863+Q1863</f>
        <v>0</v>
      </c>
      <c r="S1863" s="3139"/>
      <c r="T1863" s="2871"/>
    </row>
    <row r="1864" spans="4:22" ht="13.5">
      <c r="D1864" s="3138"/>
      <c r="I1864" s="3141" t="s">
        <v>3050</v>
      </c>
      <c r="J1864" s="2830" t="s">
        <v>5095</v>
      </c>
      <c r="K1864" s="2825"/>
      <c r="L1864" s="2844">
        <f>+K1864*3</f>
        <v>0</v>
      </c>
      <c r="M1864" s="2826">
        <v>2</v>
      </c>
      <c r="N1864" s="2844">
        <v>0</v>
      </c>
      <c r="O1864" s="2827"/>
      <c r="P1864" s="2847"/>
      <c r="Q1864" s="2849"/>
      <c r="R1864" s="3101">
        <f t="shared" ref="R1864:R1888" si="97">+L1864+N1864+P1864+Q1864</f>
        <v>0</v>
      </c>
      <c r="S1864" s="3139"/>
    </row>
    <row r="1865" spans="4:22" ht="13.5">
      <c r="D1865" s="3138"/>
      <c r="I1865" s="3141" t="s">
        <v>706</v>
      </c>
      <c r="J1865" s="2828" t="s">
        <v>5254</v>
      </c>
      <c r="K1865" s="2825"/>
      <c r="L1865" s="2844">
        <f>+K1865*3</f>
        <v>0</v>
      </c>
      <c r="M1865" s="2826">
        <v>3</v>
      </c>
      <c r="N1865" s="2844">
        <v>0</v>
      </c>
      <c r="O1865" s="3140"/>
      <c r="P1865" s="2848">
        <f>IF(O1865&gt;25,150,(O1865)*6)</f>
        <v>0</v>
      </c>
      <c r="Q1865" s="2850"/>
      <c r="R1865" s="3101">
        <f t="shared" si="97"/>
        <v>0</v>
      </c>
      <c r="S1865" s="3139"/>
      <c r="T1865" s="2871"/>
      <c r="U1865" s="3828">
        <f ca="1">+TODAY()</f>
        <v>43895</v>
      </c>
      <c r="V1865" s="3829"/>
    </row>
    <row r="1866" spans="4:22" ht="13.5">
      <c r="D1866" s="3138"/>
      <c r="I1866" s="3072" t="s">
        <v>4269</v>
      </c>
      <c r="J1866" s="3073" t="s">
        <v>5255</v>
      </c>
      <c r="K1866" s="3074"/>
      <c r="L1866" s="3075"/>
      <c r="M1866" s="3076"/>
      <c r="N1866" s="2844">
        <f>+M1866*3</f>
        <v>0</v>
      </c>
      <c r="O1866" s="3076">
        <v>34</v>
      </c>
      <c r="P1866" s="2848">
        <f>IF(O1866&gt;25,150,(O1866)*6)</f>
        <v>150</v>
      </c>
      <c r="Q1866" s="2850"/>
      <c r="R1866" s="3102">
        <f t="shared" si="97"/>
        <v>150</v>
      </c>
      <c r="S1866" s="3139"/>
      <c r="T1866" s="2871"/>
    </row>
    <row r="1867" spans="4:22" ht="13.5">
      <c r="D1867" s="3138"/>
      <c r="I1867" s="3141" t="s">
        <v>290</v>
      </c>
      <c r="J1867" s="2830" t="s">
        <v>464</v>
      </c>
      <c r="K1867" s="2825"/>
      <c r="L1867" s="2844">
        <f>+K1867*5</f>
        <v>0</v>
      </c>
      <c r="M1867" s="2826"/>
      <c r="N1867" s="2844">
        <f>5*M1867</f>
        <v>0</v>
      </c>
      <c r="O1867" s="2827"/>
      <c r="P1867" s="2847">
        <v>0</v>
      </c>
      <c r="Q1867" s="2849"/>
      <c r="R1867" s="3101">
        <f t="shared" si="97"/>
        <v>0</v>
      </c>
      <c r="S1867" s="3139"/>
      <c r="T1867" s="2871"/>
    </row>
    <row r="1868" spans="4:22" ht="13.5">
      <c r="D1868" s="3138"/>
      <c r="I1868" s="3141" t="s">
        <v>646</v>
      </c>
      <c r="J1868" s="2828" t="s">
        <v>5318</v>
      </c>
      <c r="K1868" s="2825"/>
      <c r="L1868" s="2844">
        <f>+K1868*3</f>
        <v>0</v>
      </c>
      <c r="M1868" s="3140"/>
      <c r="N1868" s="2844">
        <f>+M1868*5</f>
        <v>0</v>
      </c>
      <c r="O1868" s="3140">
        <v>27</v>
      </c>
      <c r="P1868" s="2848">
        <f t="shared" ref="P1868:P1888" si="98">IF(O1868&gt;25,150,(O1868)*6)</f>
        <v>150</v>
      </c>
      <c r="Q1868" s="2850"/>
      <c r="R1868" s="3102">
        <f t="shared" si="97"/>
        <v>150</v>
      </c>
      <c r="S1868" s="3139"/>
      <c r="T1868" s="2871"/>
    </row>
    <row r="1869" spans="4:22" ht="13.5">
      <c r="D1869" s="3138"/>
      <c r="I1869" s="3141" t="s">
        <v>5217</v>
      </c>
      <c r="J1869" s="2828" t="s">
        <v>5218</v>
      </c>
      <c r="K1869" s="2825"/>
      <c r="L1869" s="2844">
        <v>0</v>
      </c>
      <c r="M1869" s="3140">
        <v>4</v>
      </c>
      <c r="N1869" s="2844">
        <f>+M1869*3</f>
        <v>12</v>
      </c>
      <c r="O1869" s="3140"/>
      <c r="P1869" s="2848">
        <f t="shared" si="98"/>
        <v>0</v>
      </c>
      <c r="Q1869" s="2850"/>
      <c r="R1869" s="3102">
        <f t="shared" si="97"/>
        <v>12</v>
      </c>
      <c r="S1869" s="3139"/>
      <c r="T1869" s="2871"/>
    </row>
    <row r="1870" spans="4:22" ht="13.5">
      <c r="D1870" s="3138"/>
      <c r="I1870" s="3141" t="s">
        <v>416</v>
      </c>
      <c r="J1870" s="2828" t="s">
        <v>5219</v>
      </c>
      <c r="K1870" s="2834"/>
      <c r="L1870" s="2844"/>
      <c r="M1870" s="3140"/>
      <c r="N1870" s="2844">
        <f>+M1870*5</f>
        <v>0</v>
      </c>
      <c r="O1870" s="3140"/>
      <c r="P1870" s="2848">
        <f t="shared" si="98"/>
        <v>0</v>
      </c>
      <c r="Q1870" s="2850"/>
      <c r="R1870" s="3102">
        <f t="shared" si="97"/>
        <v>0</v>
      </c>
      <c r="S1870" s="3139"/>
      <c r="T1870" s="2871"/>
    </row>
    <row r="1871" spans="4:22" ht="13.5">
      <c r="D1871" s="3138"/>
      <c r="I1871" s="3141" t="s">
        <v>5295</v>
      </c>
      <c r="J1871" s="2828" t="s">
        <v>5224</v>
      </c>
      <c r="K1871" s="2834"/>
      <c r="L1871" s="2844"/>
      <c r="M1871" s="3140"/>
      <c r="N1871" s="2844">
        <f>+M1871*3</f>
        <v>0</v>
      </c>
      <c r="O1871" s="3140"/>
      <c r="P1871" s="2848">
        <f t="shared" si="98"/>
        <v>0</v>
      </c>
      <c r="Q1871" s="2850"/>
      <c r="R1871" s="3102">
        <f t="shared" si="97"/>
        <v>0</v>
      </c>
      <c r="S1871" s="3139"/>
      <c r="T1871" s="2871"/>
    </row>
    <row r="1872" spans="4:22" ht="13.5">
      <c r="D1872" s="3138"/>
      <c r="I1872" s="3141" t="s">
        <v>5128</v>
      </c>
      <c r="J1872" s="2828" t="s">
        <v>5220</v>
      </c>
      <c r="K1872" s="2825"/>
      <c r="L1872" s="2844">
        <v>0</v>
      </c>
      <c r="M1872" s="2826"/>
      <c r="N1872" s="2844">
        <f>+M1872*3</f>
        <v>0</v>
      </c>
      <c r="O1872" s="3140">
        <v>26</v>
      </c>
      <c r="P1872" s="2848">
        <f t="shared" si="98"/>
        <v>150</v>
      </c>
      <c r="Q1872" s="2850"/>
      <c r="R1872" s="3101">
        <f t="shared" si="97"/>
        <v>150</v>
      </c>
      <c r="S1872" s="3139"/>
      <c r="T1872" s="3126">
        <v>860</v>
      </c>
      <c r="U1872" s="3127">
        <v>111.8</v>
      </c>
      <c r="V1872" s="3128">
        <v>748.2</v>
      </c>
    </row>
    <row r="1873" spans="4:22" ht="13.5">
      <c r="D1873" s="3138"/>
      <c r="I1873" s="3141" t="s">
        <v>5118</v>
      </c>
      <c r="J1873" s="2830" t="s">
        <v>5319</v>
      </c>
      <c r="K1873" s="2825"/>
      <c r="L1873" s="2844">
        <f>+K1873*3</f>
        <v>0</v>
      </c>
      <c r="M1873" s="2826">
        <v>4</v>
      </c>
      <c r="N1873" s="2844">
        <f>+M1873*3</f>
        <v>12</v>
      </c>
      <c r="O1873" s="3140"/>
      <c r="P1873" s="2848">
        <f t="shared" si="98"/>
        <v>0</v>
      </c>
      <c r="Q1873" s="2849"/>
      <c r="R1873" s="3101">
        <f t="shared" si="97"/>
        <v>12</v>
      </c>
      <c r="S1873" s="3139"/>
      <c r="T1873" s="3129">
        <f>+U1873+V1873</f>
        <v>827.58620689655174</v>
      </c>
      <c r="U1873" s="75">
        <f>+U1872*V1873/V1872</f>
        <v>107.58620689655172</v>
      </c>
      <c r="V1873" s="3125">
        <v>720</v>
      </c>
    </row>
    <row r="1874" spans="4:22" ht="13.5">
      <c r="D1874" s="3138"/>
      <c r="H1874" s="3024" t="s">
        <v>5362</v>
      </c>
      <c r="I1874" s="3025" t="s">
        <v>929</v>
      </c>
      <c r="J1874" s="3026" t="s">
        <v>5384</v>
      </c>
      <c r="K1874" s="3027"/>
      <c r="L1874" s="3028">
        <f>+K1874*3</f>
        <v>0</v>
      </c>
      <c r="M1874" s="3029"/>
      <c r="N1874" s="3028">
        <f t="shared" ref="N1874:N1892" si="99">+M1874*3</f>
        <v>0</v>
      </c>
      <c r="O1874" s="3030"/>
      <c r="P1874" s="3031">
        <f t="shared" si="98"/>
        <v>0</v>
      </c>
      <c r="Q1874" s="3032"/>
      <c r="R1874" s="3104">
        <f t="shared" si="97"/>
        <v>0</v>
      </c>
      <c r="S1874" s="3139"/>
      <c r="T1874" s="3130">
        <f>+T1872-T1873</f>
        <v>32.413793103448256</v>
      </c>
      <c r="U1874" s="75"/>
      <c r="V1874" s="143"/>
    </row>
    <row r="1875" spans="4:22" ht="13.5">
      <c r="D1875" s="3138"/>
      <c r="I1875" s="3141" t="s">
        <v>5222</v>
      </c>
      <c r="J1875" s="2828" t="s">
        <v>5223</v>
      </c>
      <c r="K1875" s="2834"/>
      <c r="L1875" s="2844"/>
      <c r="M1875" s="3140"/>
      <c r="N1875" s="2844">
        <f t="shared" si="99"/>
        <v>0</v>
      </c>
      <c r="O1875" s="3140">
        <v>1</v>
      </c>
      <c r="P1875" s="2848">
        <f t="shared" si="98"/>
        <v>6</v>
      </c>
      <c r="Q1875" s="2850"/>
      <c r="R1875" s="3101">
        <f t="shared" si="97"/>
        <v>6</v>
      </c>
      <c r="S1875" s="3139"/>
      <c r="T1875" s="3131">
        <v>150</v>
      </c>
      <c r="U1875" s="3132">
        <f>+T1875-T1874</f>
        <v>117.58620689655174</v>
      </c>
      <c r="V1875" s="144"/>
    </row>
    <row r="1876" spans="4:22" ht="13.5">
      <c r="D1876" s="3138"/>
      <c r="I1876" s="3141" t="s">
        <v>5252</v>
      </c>
      <c r="J1876" s="2828" t="s">
        <v>5253</v>
      </c>
      <c r="K1876" s="2825"/>
      <c r="L1876" s="2844">
        <f>+K1876*3</f>
        <v>0</v>
      </c>
      <c r="M1876" s="2826"/>
      <c r="N1876" s="2844">
        <f t="shared" si="99"/>
        <v>0</v>
      </c>
      <c r="O1876" s="3140"/>
      <c r="P1876" s="2848">
        <f t="shared" si="98"/>
        <v>0</v>
      </c>
      <c r="Q1876" s="2850"/>
      <c r="R1876" s="3101">
        <f t="shared" si="97"/>
        <v>0</v>
      </c>
      <c r="S1876" s="3139"/>
      <c r="T1876" s="2871"/>
    </row>
    <row r="1877" spans="4:22" ht="13.5">
      <c r="D1877" s="3138"/>
      <c r="I1877" s="3072" t="s">
        <v>799</v>
      </c>
      <c r="J1877" s="3073" t="s">
        <v>5225</v>
      </c>
      <c r="K1877" s="3074"/>
      <c r="L1877" s="3075"/>
      <c r="M1877" s="3076"/>
      <c r="N1877" s="3075">
        <f t="shared" si="99"/>
        <v>0</v>
      </c>
      <c r="O1877" s="3076">
        <v>21</v>
      </c>
      <c r="P1877" s="2848">
        <f t="shared" si="98"/>
        <v>126</v>
      </c>
      <c r="Q1877" s="2850"/>
      <c r="R1877" s="3102">
        <f t="shared" si="97"/>
        <v>126</v>
      </c>
      <c r="S1877" s="3139"/>
      <c r="T1877" s="3126">
        <v>828</v>
      </c>
      <c r="U1877" s="3127">
        <v>107.64</v>
      </c>
      <c r="V1877" s="3128">
        <v>720.36</v>
      </c>
    </row>
    <row r="1878" spans="4:22" ht="13.5">
      <c r="D1878" s="3138"/>
      <c r="I1878" s="3072" t="s">
        <v>793</v>
      </c>
      <c r="J1878" s="3073" t="s">
        <v>5226</v>
      </c>
      <c r="K1878" s="3074"/>
      <c r="L1878" s="3075"/>
      <c r="M1878" s="3076"/>
      <c r="N1878" s="3075">
        <f t="shared" si="99"/>
        <v>0</v>
      </c>
      <c r="O1878" s="3076">
        <v>40</v>
      </c>
      <c r="P1878" s="2848">
        <f t="shared" si="98"/>
        <v>150</v>
      </c>
      <c r="Q1878" s="2850"/>
      <c r="R1878" s="3102">
        <f t="shared" si="97"/>
        <v>150</v>
      </c>
      <c r="S1878" s="3139"/>
      <c r="T1878" s="3129">
        <f>+U1878+V1878</f>
        <v>827.58620689655174</v>
      </c>
      <c r="U1878" s="75">
        <f>+U1877*V1878/V1877</f>
        <v>107.58620689655173</v>
      </c>
      <c r="V1878" s="3125">
        <v>720</v>
      </c>
    </row>
    <row r="1879" spans="4:22" ht="13.5">
      <c r="D1879" s="3138"/>
      <c r="I1879" s="3141" t="s">
        <v>5227</v>
      </c>
      <c r="J1879" s="2828" t="s">
        <v>5228</v>
      </c>
      <c r="K1879" s="2834"/>
      <c r="L1879" s="2844"/>
      <c r="M1879" s="3140"/>
      <c r="N1879" s="2844">
        <f t="shared" si="99"/>
        <v>0</v>
      </c>
      <c r="O1879" s="3140">
        <v>29</v>
      </c>
      <c r="P1879" s="2848">
        <f t="shared" si="98"/>
        <v>150</v>
      </c>
      <c r="Q1879" s="2850"/>
      <c r="R1879" s="3101">
        <f t="shared" si="97"/>
        <v>150</v>
      </c>
      <c r="S1879" s="3139"/>
      <c r="T1879" s="3130">
        <f>+T1877-T1878</f>
        <v>0.41379310344825626</v>
      </c>
      <c r="U1879" s="75"/>
      <c r="V1879" s="143"/>
    </row>
    <row r="1880" spans="4:22" ht="13.5">
      <c r="D1880" s="3138"/>
      <c r="I1880" s="3141" t="s">
        <v>5287</v>
      </c>
      <c r="J1880" s="2828" t="s">
        <v>5288</v>
      </c>
      <c r="K1880" s="2834"/>
      <c r="L1880" s="2844"/>
      <c r="M1880" s="3140"/>
      <c r="N1880" s="2844">
        <f t="shared" si="99"/>
        <v>0</v>
      </c>
      <c r="O1880" s="3140">
        <v>32</v>
      </c>
      <c r="P1880" s="2848">
        <f t="shared" si="98"/>
        <v>150</v>
      </c>
      <c r="Q1880" s="2850"/>
      <c r="R1880" s="3101">
        <f t="shared" si="97"/>
        <v>150</v>
      </c>
      <c r="S1880" s="3139"/>
      <c r="T1880" s="3131">
        <v>150</v>
      </c>
      <c r="U1880" s="3132">
        <f>+T1880-T1879</f>
        <v>149.58620689655174</v>
      </c>
      <c r="V1880" s="144"/>
    </row>
    <row r="1881" spans="4:22" ht="13.5">
      <c r="D1881" s="3138"/>
      <c r="I1881" s="3141" t="s">
        <v>5100</v>
      </c>
      <c r="J1881" s="2828" t="s">
        <v>5229</v>
      </c>
      <c r="K1881" s="2834"/>
      <c r="L1881" s="2844"/>
      <c r="M1881" s="3140"/>
      <c r="N1881" s="2844">
        <f t="shared" si="99"/>
        <v>0</v>
      </c>
      <c r="O1881" s="3140">
        <v>1</v>
      </c>
      <c r="P1881" s="2848">
        <f t="shared" si="98"/>
        <v>6</v>
      </c>
      <c r="Q1881" s="2850"/>
      <c r="R1881" s="3101">
        <f t="shared" si="97"/>
        <v>6</v>
      </c>
      <c r="S1881" s="3139"/>
      <c r="T1881" s="2871"/>
    </row>
    <row r="1882" spans="4:22" ht="13.5">
      <c r="D1882" s="3138"/>
      <c r="I1882" s="3141" t="s">
        <v>5230</v>
      </c>
      <c r="J1882" s="2828" t="s">
        <v>5231</v>
      </c>
      <c r="K1882" s="2834"/>
      <c r="L1882" s="2844"/>
      <c r="M1882" s="3140"/>
      <c r="N1882" s="2844">
        <f t="shared" si="99"/>
        <v>0</v>
      </c>
      <c r="O1882" s="3140"/>
      <c r="P1882" s="2848">
        <f t="shared" si="98"/>
        <v>0</v>
      </c>
      <c r="Q1882" s="2850"/>
      <c r="R1882" s="3101">
        <f t="shared" si="97"/>
        <v>0</v>
      </c>
      <c r="S1882" s="3139"/>
      <c r="T1882" s="2973"/>
    </row>
    <row r="1883" spans="4:22" ht="13.5">
      <c r="D1883" s="3138"/>
      <c r="H1883" s="3024" t="s">
        <v>5362</v>
      </c>
      <c r="I1883" s="3025" t="s">
        <v>5120</v>
      </c>
      <c r="J1883" s="3026" t="s">
        <v>3321</v>
      </c>
      <c r="K1883" s="3027"/>
      <c r="L1883" s="3028">
        <f>+K1883*3</f>
        <v>0</v>
      </c>
      <c r="M1883" s="3029"/>
      <c r="N1883" s="3028">
        <f t="shared" si="99"/>
        <v>0</v>
      </c>
      <c r="O1883" s="3030"/>
      <c r="P1883" s="3031">
        <f t="shared" si="98"/>
        <v>0</v>
      </c>
      <c r="Q1883" s="3032"/>
      <c r="R1883" s="3104">
        <f t="shared" si="97"/>
        <v>0</v>
      </c>
      <c r="S1883" s="3139"/>
      <c r="T1883" s="2871"/>
    </row>
    <row r="1884" spans="4:22" ht="13.5">
      <c r="D1884" s="3138"/>
      <c r="I1884" s="3141" t="s">
        <v>5232</v>
      </c>
      <c r="J1884" s="2828" t="s">
        <v>5233</v>
      </c>
      <c r="K1884" s="2834"/>
      <c r="L1884" s="2844"/>
      <c r="M1884" s="3140"/>
      <c r="N1884" s="2844">
        <f t="shared" si="99"/>
        <v>0</v>
      </c>
      <c r="O1884" s="3140">
        <v>38</v>
      </c>
      <c r="P1884" s="2848">
        <f t="shared" si="98"/>
        <v>150</v>
      </c>
      <c r="Q1884" s="2850"/>
      <c r="R1884" s="3101">
        <f t="shared" si="97"/>
        <v>150</v>
      </c>
      <c r="S1884" s="3139"/>
      <c r="T1884" s="2871"/>
    </row>
    <row r="1885" spans="4:22" ht="13.5">
      <c r="D1885" s="3138"/>
      <c r="I1885" s="3141" t="s">
        <v>5194</v>
      </c>
      <c r="J1885" s="2828" t="s">
        <v>5251</v>
      </c>
      <c r="K1885" s="2825"/>
      <c r="L1885" s="2844">
        <v>0</v>
      </c>
      <c r="M1885" s="2826"/>
      <c r="N1885" s="2844">
        <f t="shared" si="99"/>
        <v>0</v>
      </c>
      <c r="O1885" s="3140">
        <v>33</v>
      </c>
      <c r="P1885" s="2848">
        <f t="shared" si="98"/>
        <v>150</v>
      </c>
      <c r="Q1885" s="2850"/>
      <c r="R1885" s="3101">
        <f t="shared" si="97"/>
        <v>150</v>
      </c>
      <c r="S1885" s="3139"/>
      <c r="T1885" s="2871"/>
    </row>
    <row r="1886" spans="4:22" ht="13.5">
      <c r="D1886" s="3138"/>
      <c r="I1886" s="3141" t="s">
        <v>5285</v>
      </c>
      <c r="J1886" s="2830" t="s">
        <v>5284</v>
      </c>
      <c r="K1886" s="2825"/>
      <c r="L1886" s="2844">
        <v>0</v>
      </c>
      <c r="M1886" s="2826"/>
      <c r="N1886" s="2844">
        <f t="shared" si="99"/>
        <v>0</v>
      </c>
      <c r="O1886" s="2827"/>
      <c r="P1886" s="2848">
        <f t="shared" si="98"/>
        <v>0</v>
      </c>
      <c r="Q1886" s="2849"/>
      <c r="R1886" s="3101">
        <f t="shared" si="97"/>
        <v>0</v>
      </c>
      <c r="S1886" s="3139"/>
      <c r="T1886" s="2871"/>
    </row>
    <row r="1887" spans="4:22" ht="13.5">
      <c r="D1887" s="3138"/>
      <c r="I1887" s="3141" t="s">
        <v>5121</v>
      </c>
      <c r="J1887" s="2830" t="s">
        <v>5122</v>
      </c>
      <c r="K1887" s="2825"/>
      <c r="L1887" s="2844">
        <v>0</v>
      </c>
      <c r="M1887" s="2826"/>
      <c r="N1887" s="2844">
        <f t="shared" si="99"/>
        <v>0</v>
      </c>
      <c r="O1887" s="3140">
        <v>35</v>
      </c>
      <c r="P1887" s="2848">
        <f t="shared" si="98"/>
        <v>150</v>
      </c>
      <c r="Q1887" s="2849"/>
      <c r="R1887" s="3101">
        <f t="shared" si="97"/>
        <v>150</v>
      </c>
      <c r="S1887" s="3139"/>
      <c r="T1887" s="2871"/>
    </row>
    <row r="1888" spans="4:22" ht="13.5">
      <c r="D1888" s="3138"/>
      <c r="I1888" s="3141" t="s">
        <v>5235</v>
      </c>
      <c r="J1888" s="2830" t="s">
        <v>5320</v>
      </c>
      <c r="K1888" s="2825"/>
      <c r="L1888" s="2844">
        <v>0</v>
      </c>
      <c r="M1888" s="2826"/>
      <c r="N1888" s="2844">
        <f t="shared" si="99"/>
        <v>0</v>
      </c>
      <c r="O1888" s="3140">
        <v>1</v>
      </c>
      <c r="P1888" s="2848">
        <f t="shared" si="98"/>
        <v>6</v>
      </c>
      <c r="Q1888" s="2849"/>
      <c r="R1888" s="3101">
        <f t="shared" si="97"/>
        <v>6</v>
      </c>
      <c r="S1888" s="3139"/>
      <c r="T1888" s="2871"/>
    </row>
    <row r="1889" spans="4:21" ht="13.5">
      <c r="D1889" s="3138"/>
      <c r="I1889" s="3141" t="s">
        <v>5237</v>
      </c>
      <c r="J1889" s="2828" t="s">
        <v>5238</v>
      </c>
      <c r="K1889" s="3141"/>
      <c r="L1889" s="2844">
        <f>+K1889*3</f>
        <v>0</v>
      </c>
      <c r="M1889" s="3140"/>
      <c r="N1889" s="2844">
        <f t="shared" si="99"/>
        <v>0</v>
      </c>
      <c r="O1889" s="3140">
        <v>25</v>
      </c>
      <c r="P1889" s="2848">
        <f>IF(O1889&gt;25,150,(O1889)*6)</f>
        <v>150</v>
      </c>
      <c r="Q1889" s="2850"/>
      <c r="R1889" s="3101">
        <f>+L1889+N1889+P1889+Q1889</f>
        <v>150</v>
      </c>
      <c r="S1889" s="3087"/>
      <c r="T1889" s="2871"/>
    </row>
    <row r="1890" spans="4:21" ht="13.5">
      <c r="D1890" s="3138"/>
      <c r="I1890" s="3146" t="s">
        <v>5101</v>
      </c>
      <c r="J1890" s="3147" t="s">
        <v>5289</v>
      </c>
      <c r="K1890" s="3148"/>
      <c r="L1890" s="3149">
        <f>+K1890*3</f>
        <v>0</v>
      </c>
      <c r="M1890" s="3150"/>
      <c r="N1890" s="2893">
        <f t="shared" si="99"/>
        <v>0</v>
      </c>
      <c r="O1890" s="3151">
        <v>27</v>
      </c>
      <c r="P1890" s="2906">
        <f>IF(O1890&gt;25,150,(O1890)*6)</f>
        <v>150</v>
      </c>
      <c r="Q1890" s="2907"/>
      <c r="R1890" s="3092">
        <f>+L1890+N1890+P1890+Q1890</f>
        <v>150</v>
      </c>
      <c r="S1890" s="3152" t="s">
        <v>5428</v>
      </c>
      <c r="T1890" s="2871"/>
    </row>
    <row r="1891" spans="4:21" ht="13.5">
      <c r="D1891" s="3138"/>
      <c r="I1891" s="3141" t="s">
        <v>5102</v>
      </c>
      <c r="J1891" s="2830" t="s">
        <v>5098</v>
      </c>
      <c r="K1891" s="2825"/>
      <c r="L1891" s="2844">
        <f>+K1891*3</f>
        <v>0</v>
      </c>
      <c r="M1891" s="2826">
        <v>3</v>
      </c>
      <c r="N1891" s="2844">
        <v>0</v>
      </c>
      <c r="O1891" s="3140"/>
      <c r="P1891" s="2847">
        <f t="shared" ref="P1891:P1898" si="100">IF(O1891&gt;25,150,(O1891)*6)</f>
        <v>0</v>
      </c>
      <c r="Q1891" s="2849"/>
      <c r="R1891" s="3101">
        <f>+L1891+N1891+P1891+Q1891</f>
        <v>0</v>
      </c>
      <c r="S1891" s="3087"/>
      <c r="T1891" s="2871"/>
    </row>
    <row r="1892" spans="4:21" ht="13.5">
      <c r="D1892" s="3138"/>
      <c r="I1892" s="3141" t="s">
        <v>5103</v>
      </c>
      <c r="J1892" s="2828" t="s">
        <v>5410</v>
      </c>
      <c r="K1892" s="2834"/>
      <c r="L1892" s="2844"/>
      <c r="M1892" s="3140"/>
      <c r="N1892" s="2844">
        <f t="shared" si="99"/>
        <v>0</v>
      </c>
      <c r="O1892" s="3140"/>
      <c r="P1892" s="2848">
        <f t="shared" si="100"/>
        <v>0</v>
      </c>
      <c r="Q1892" s="2850"/>
      <c r="R1892" s="3101">
        <f>+L1892+N1892+P1892+Q1892</f>
        <v>0</v>
      </c>
      <c r="S1892" s="3087"/>
      <c r="T1892" s="2871"/>
    </row>
    <row r="1893" spans="4:21" ht="13.5">
      <c r="D1893" s="3138"/>
      <c r="I1893" s="3072" t="s">
        <v>5324</v>
      </c>
      <c r="J1893" s="3073" t="s">
        <v>5325</v>
      </c>
      <c r="K1893" s="3074"/>
      <c r="L1893" s="3075"/>
      <c r="M1893" s="3076"/>
      <c r="N1893" s="3075">
        <f>+M1893*3</f>
        <v>0</v>
      </c>
      <c r="O1893" s="3076">
        <v>2</v>
      </c>
      <c r="P1893" s="2848">
        <f t="shared" si="100"/>
        <v>12</v>
      </c>
      <c r="Q1893" s="2850"/>
      <c r="R1893" s="3102">
        <f>+L1893+N1893+P1893+Q1893</f>
        <v>12</v>
      </c>
      <c r="S1893" s="3087"/>
      <c r="T1893" s="2871"/>
    </row>
    <row r="1894" spans="4:21" ht="13.5">
      <c r="D1894" s="3138"/>
      <c r="I1894" s="3072" t="s">
        <v>5312</v>
      </c>
      <c r="J1894" s="3073" t="s">
        <v>5313</v>
      </c>
      <c r="K1894" s="3074"/>
      <c r="L1894" s="3075">
        <v>0</v>
      </c>
      <c r="M1894" s="3076"/>
      <c r="N1894" s="3075">
        <f>+M1894*3</f>
        <v>0</v>
      </c>
      <c r="O1894" s="3076">
        <v>23</v>
      </c>
      <c r="P1894" s="2848">
        <f t="shared" si="100"/>
        <v>138</v>
      </c>
      <c r="Q1894" s="2850"/>
      <c r="R1894" s="3102">
        <f t="shared" ref="R1894:R1899" si="101">+L1894+N1894+P1894+Q1894</f>
        <v>138</v>
      </c>
      <c r="S1894" s="3087"/>
      <c r="T1894" s="2871"/>
    </row>
    <row r="1895" spans="4:21" ht="13.5">
      <c r="D1895" s="3138"/>
      <c r="I1895" s="3141" t="s">
        <v>5375</v>
      </c>
      <c r="J1895" s="2828" t="s">
        <v>5376</v>
      </c>
      <c r="K1895" s="2834"/>
      <c r="L1895" s="2844">
        <v>0</v>
      </c>
      <c r="M1895" s="3140"/>
      <c r="N1895" s="2844">
        <f>+M1895*3</f>
        <v>0</v>
      </c>
      <c r="O1895" s="3140">
        <v>34</v>
      </c>
      <c r="P1895" s="2848">
        <f t="shared" si="100"/>
        <v>150</v>
      </c>
      <c r="Q1895" s="2850"/>
      <c r="R1895" s="3101">
        <f t="shared" si="101"/>
        <v>150</v>
      </c>
      <c r="S1895" s="3087"/>
      <c r="T1895" s="2871"/>
    </row>
    <row r="1896" spans="4:21" ht="13.5">
      <c r="D1896" s="3138"/>
      <c r="I1896" s="3141" t="s">
        <v>5377</v>
      </c>
      <c r="J1896" s="2830" t="s">
        <v>5378</v>
      </c>
      <c r="K1896" s="2825"/>
      <c r="L1896" s="2844">
        <v>0</v>
      </c>
      <c r="M1896" s="2826"/>
      <c r="N1896" s="2844">
        <f>+M1896*3</f>
        <v>0</v>
      </c>
      <c r="O1896" s="3140"/>
      <c r="P1896" s="2848">
        <f t="shared" si="100"/>
        <v>0</v>
      </c>
      <c r="Q1896" s="2849"/>
      <c r="R1896" s="3101">
        <f t="shared" si="101"/>
        <v>0</v>
      </c>
      <c r="S1896" s="3139"/>
      <c r="T1896" s="2871"/>
    </row>
    <row r="1897" spans="4:21" ht="13.5">
      <c r="D1897" s="3138"/>
      <c r="I1897" s="3141" t="s">
        <v>5406</v>
      </c>
      <c r="J1897" s="2830" t="s">
        <v>5407</v>
      </c>
      <c r="K1897" s="2825"/>
      <c r="L1897" s="2844">
        <v>0</v>
      </c>
      <c r="M1897" s="2826">
        <v>3</v>
      </c>
      <c r="N1897" s="2844">
        <v>0</v>
      </c>
      <c r="O1897" s="3140"/>
      <c r="P1897" s="2848">
        <f t="shared" si="100"/>
        <v>0</v>
      </c>
      <c r="Q1897" s="2849"/>
      <c r="R1897" s="3101">
        <f t="shared" si="101"/>
        <v>0</v>
      </c>
      <c r="S1897" s="3139"/>
      <c r="T1897" s="2871"/>
    </row>
    <row r="1898" spans="4:21" ht="13.5">
      <c r="D1898" s="3138"/>
      <c r="I1898" s="2837" t="s">
        <v>5415</v>
      </c>
      <c r="J1898" s="2880" t="s">
        <v>5416</v>
      </c>
      <c r="K1898" s="2881"/>
      <c r="L1898" s="2882">
        <v>0</v>
      </c>
      <c r="M1898" s="2883"/>
      <c r="N1898" s="2882">
        <f>+M1898*5</f>
        <v>0</v>
      </c>
      <c r="O1898" s="2972"/>
      <c r="P1898" s="2885">
        <f t="shared" si="100"/>
        <v>0</v>
      </c>
      <c r="Q1898" s="2886"/>
      <c r="R1898" s="3105">
        <f t="shared" si="101"/>
        <v>0</v>
      </c>
      <c r="S1898" s="3139"/>
      <c r="T1898" s="2871"/>
    </row>
    <row r="1899" spans="4:21" ht="13.5">
      <c r="D1899" s="3138"/>
      <c r="I1899" s="2839"/>
      <c r="J1899" s="2840"/>
      <c r="K1899" s="2963">
        <f t="shared" ref="K1899:Q1899" si="102">SUM(K1863:K1898)</f>
        <v>0</v>
      </c>
      <c r="L1899" s="2964">
        <f t="shared" si="102"/>
        <v>0</v>
      </c>
      <c r="M1899" s="2877">
        <f t="shared" si="102"/>
        <v>22</v>
      </c>
      <c r="N1899" s="2879">
        <f t="shared" si="102"/>
        <v>24</v>
      </c>
      <c r="O1899" s="2877">
        <f t="shared" si="102"/>
        <v>429</v>
      </c>
      <c r="P1899" s="2879">
        <f t="shared" si="102"/>
        <v>2094</v>
      </c>
      <c r="Q1899" s="2879">
        <f t="shared" si="102"/>
        <v>0</v>
      </c>
      <c r="R1899" s="2878">
        <f t="shared" si="101"/>
        <v>2118</v>
      </c>
      <c r="S1899" s="3088"/>
      <c r="T1899" s="2871"/>
    </row>
    <row r="1900" spans="4:21">
      <c r="D1900" s="3138"/>
      <c r="N1900" s="1098" t="s">
        <v>5395</v>
      </c>
      <c r="O1900" s="3066">
        <f>+O1901-O1899</f>
        <v>1</v>
      </c>
      <c r="P1900" s="1081">
        <f>+P1901-P1899</f>
        <v>-132</v>
      </c>
    </row>
    <row r="1901" spans="4:21">
      <c r="D1901" s="3138"/>
      <c r="N1901" s="3067" t="s">
        <v>5394</v>
      </c>
      <c r="O1901" s="3066">
        <v>430</v>
      </c>
      <c r="P1901" s="1081">
        <v>1962</v>
      </c>
      <c r="Q1901" s="2051" t="s">
        <v>5423</v>
      </c>
      <c r="R1901" s="3124">
        <f>+R1899-R1898</f>
        <v>2118</v>
      </c>
    </row>
    <row r="1902" spans="4:21">
      <c r="D1902" s="3143"/>
    </row>
    <row r="1903" spans="4:21" ht="13.5">
      <c r="D1903" s="3143"/>
      <c r="I1903" s="3830" t="s">
        <v>5429</v>
      </c>
      <c r="J1903" s="3830"/>
      <c r="K1903" s="3830"/>
      <c r="L1903" s="3830"/>
      <c r="M1903" s="3830"/>
      <c r="N1903" s="3830"/>
      <c r="O1903" s="3830"/>
      <c r="P1903" s="3830"/>
      <c r="Q1903" s="3830"/>
      <c r="R1903" s="3830"/>
      <c r="T1903" s="2873"/>
    </row>
    <row r="1904" spans="4:21" ht="13.5">
      <c r="D1904" s="3143"/>
      <c r="I1904" s="2821"/>
      <c r="J1904" s="2821"/>
      <c r="K1904" s="3831" t="s">
        <v>5286</v>
      </c>
      <c r="L1904" s="3832"/>
      <c r="M1904" s="3832"/>
      <c r="N1904" s="3833"/>
      <c r="O1904" s="3832" t="s">
        <v>4643</v>
      </c>
      <c r="P1904" s="3833"/>
      <c r="Q1904" s="2821"/>
      <c r="R1904" s="2821"/>
      <c r="T1904" s="3828">
        <f ca="1">+TODAY()</f>
        <v>43895</v>
      </c>
      <c r="U1904" s="3829"/>
    </row>
    <row r="1905" spans="4:23" ht="40.5">
      <c r="D1905" s="3143"/>
      <c r="I1905" s="2841" t="s">
        <v>1600</v>
      </c>
      <c r="J1905" s="2841" t="s">
        <v>2067</v>
      </c>
      <c r="K1905" s="2953" t="s">
        <v>5131</v>
      </c>
      <c r="L1905" s="2953" t="s">
        <v>5342</v>
      </c>
      <c r="M1905" s="2822" t="s">
        <v>5131</v>
      </c>
      <c r="N1905" s="2822" t="s">
        <v>5430</v>
      </c>
      <c r="O1905" s="2822" t="s">
        <v>5131</v>
      </c>
      <c r="P1905" s="2822" t="s">
        <v>5431</v>
      </c>
      <c r="Q1905" s="2822" t="s">
        <v>5432</v>
      </c>
      <c r="R1905" s="2842" t="s">
        <v>5294</v>
      </c>
      <c r="S1905" s="3142"/>
    </row>
    <row r="1906" spans="4:23" ht="13.5">
      <c r="D1906" s="3143"/>
      <c r="I1906" s="2823" t="s">
        <v>5281</v>
      </c>
      <c r="J1906" s="2824" t="s">
        <v>5280</v>
      </c>
      <c r="K1906" s="2825"/>
      <c r="L1906" s="2846">
        <f>+K1906*3</f>
        <v>0</v>
      </c>
      <c r="M1906" s="2826">
        <v>16</v>
      </c>
      <c r="N1906" s="2844">
        <v>0</v>
      </c>
      <c r="O1906" s="2827"/>
      <c r="P1906" s="2847"/>
      <c r="Q1906" s="2849"/>
      <c r="R1906" s="3123">
        <f>+L1906+N1906+P1906+Q1906</f>
        <v>0</v>
      </c>
      <c r="S1906" s="3142"/>
      <c r="T1906" s="3126">
        <v>1000.8</v>
      </c>
      <c r="U1906" s="3127">
        <v>130.1</v>
      </c>
      <c r="V1906" s="3128">
        <v>870.7</v>
      </c>
      <c r="W1906" s="3161" t="s">
        <v>1925</v>
      </c>
    </row>
    <row r="1907" spans="4:23" ht="13.5">
      <c r="D1907" s="3143"/>
      <c r="I1907" s="3144" t="s">
        <v>3050</v>
      </c>
      <c r="J1907" s="2830" t="s">
        <v>5095</v>
      </c>
      <c r="K1907" s="2825"/>
      <c r="L1907" s="2844">
        <f>+K1907*3</f>
        <v>0</v>
      </c>
      <c r="M1907" s="2826"/>
      <c r="N1907" s="2844">
        <v>0</v>
      </c>
      <c r="O1907" s="2827"/>
      <c r="P1907" s="2847"/>
      <c r="Q1907" s="2849"/>
      <c r="R1907" s="3101">
        <f t="shared" ref="R1907:R1931" si="103">+L1907+N1907+P1907+Q1907</f>
        <v>0</v>
      </c>
      <c r="S1907" s="3142"/>
      <c r="T1907" s="3129">
        <f>+U1907+V1907</f>
        <v>827.58240496152519</v>
      </c>
      <c r="U1907" s="75">
        <f>+U1906*V1907/V1906</f>
        <v>107.5824049615252</v>
      </c>
      <c r="V1907" s="3125">
        <v>720</v>
      </c>
      <c r="W1907" s="3163">
        <v>740.02</v>
      </c>
    </row>
    <row r="1908" spans="4:23" ht="13.5">
      <c r="D1908" s="3143"/>
      <c r="I1908" s="3144" t="s">
        <v>706</v>
      </c>
      <c r="J1908" s="2828" t="s">
        <v>5254</v>
      </c>
      <c r="K1908" s="2825"/>
      <c r="L1908" s="2844">
        <f>+K1908*3</f>
        <v>0</v>
      </c>
      <c r="M1908" s="2826">
        <v>25</v>
      </c>
      <c r="N1908" s="2844">
        <v>0</v>
      </c>
      <c r="O1908" s="3145"/>
      <c r="P1908" s="2848">
        <f>IF(O1908&gt;25,150,(O1908)*6)</f>
        <v>0</v>
      </c>
      <c r="Q1908" s="2850">
        <v>20</v>
      </c>
      <c r="R1908" s="3101">
        <f t="shared" si="103"/>
        <v>20</v>
      </c>
      <c r="S1908" s="3142"/>
      <c r="T1908" s="3130">
        <f>+T1906-T1907</f>
        <v>173.21759503847477</v>
      </c>
      <c r="U1908" s="75"/>
      <c r="V1908" s="143"/>
      <c r="W1908" s="2143"/>
    </row>
    <row r="1909" spans="4:23" ht="13.5">
      <c r="D1909" s="3143"/>
      <c r="I1909" s="3072" t="s">
        <v>4269</v>
      </c>
      <c r="J1909" s="3073" t="s">
        <v>5255</v>
      </c>
      <c r="K1909" s="3074"/>
      <c r="L1909" s="3075"/>
      <c r="M1909" s="3076"/>
      <c r="N1909" s="2844">
        <f>+M1909*3</f>
        <v>0</v>
      </c>
      <c r="O1909" s="3076"/>
      <c r="P1909" s="2848">
        <f>IF(O1909&gt;25,150,(O1909)*6)</f>
        <v>0</v>
      </c>
      <c r="Q1909" s="2850"/>
      <c r="R1909" s="3102">
        <f t="shared" si="103"/>
        <v>0</v>
      </c>
      <c r="S1909" s="3142"/>
      <c r="T1909" s="3131">
        <v>150</v>
      </c>
      <c r="U1909" s="3159">
        <f>+T1909-T1908</f>
        <v>-23.217595038474769</v>
      </c>
      <c r="V1909" s="3160" t="s">
        <v>5435</v>
      </c>
      <c r="W1909" s="3162">
        <v>0.01</v>
      </c>
    </row>
    <row r="1910" spans="4:23" ht="13.5">
      <c r="D1910" s="3143"/>
      <c r="I1910" s="3144" t="s">
        <v>290</v>
      </c>
      <c r="J1910" s="2830" t="s">
        <v>464</v>
      </c>
      <c r="K1910" s="2825"/>
      <c r="L1910" s="2844">
        <f>+K1910*5</f>
        <v>0</v>
      </c>
      <c r="M1910" s="2826">
        <v>26</v>
      </c>
      <c r="N1910" s="2844">
        <f>5*M1910</f>
        <v>130</v>
      </c>
      <c r="O1910" s="2827"/>
      <c r="P1910" s="2847">
        <v>0</v>
      </c>
      <c r="Q1910" s="2849"/>
      <c r="R1910" s="3101">
        <f t="shared" si="103"/>
        <v>130</v>
      </c>
      <c r="S1910" s="3142"/>
      <c r="T1910" s="2871"/>
      <c r="W1910" s="2143"/>
    </row>
    <row r="1911" spans="4:23" ht="13.5">
      <c r="D1911" s="3143"/>
      <c r="I1911" s="3144" t="s">
        <v>646</v>
      </c>
      <c r="J1911" s="2828" t="s">
        <v>5318</v>
      </c>
      <c r="K1911" s="2825"/>
      <c r="L1911" s="2844">
        <f>+K1911*3</f>
        <v>0</v>
      </c>
      <c r="M1911" s="3145"/>
      <c r="N1911" s="2844">
        <f>+M1911*5</f>
        <v>0</v>
      </c>
      <c r="O1911" s="3145">
        <v>47</v>
      </c>
      <c r="P1911" s="2848">
        <f t="shared" ref="P1911:P1931" si="104">IF(O1911&gt;25,150,(O1911)*6)</f>
        <v>150</v>
      </c>
      <c r="Q1911" s="2850"/>
      <c r="R1911" s="3102">
        <f t="shared" si="103"/>
        <v>150</v>
      </c>
      <c r="S1911" s="3142"/>
      <c r="T1911" s="3126">
        <v>838.8</v>
      </c>
      <c r="U1911" s="3127">
        <v>108.71</v>
      </c>
      <c r="V1911" s="3128">
        <v>730.09</v>
      </c>
      <c r="W1911" s="3161" t="s">
        <v>5261</v>
      </c>
    </row>
    <row r="1912" spans="4:23" ht="13.5">
      <c r="D1912" s="3143"/>
      <c r="I1912" s="3144" t="s">
        <v>5217</v>
      </c>
      <c r="J1912" s="2828" t="s">
        <v>5218</v>
      </c>
      <c r="K1912" s="2825"/>
      <c r="L1912" s="2844">
        <v>0</v>
      </c>
      <c r="M1912" s="3145">
        <v>22</v>
      </c>
      <c r="N1912" s="2844">
        <v>0</v>
      </c>
      <c r="O1912" s="3145"/>
      <c r="P1912" s="2848">
        <f t="shared" si="104"/>
        <v>0</v>
      </c>
      <c r="Q1912" s="2850"/>
      <c r="R1912" s="3102">
        <f t="shared" si="103"/>
        <v>0</v>
      </c>
      <c r="S1912" s="3142"/>
      <c r="T1912" s="3129">
        <f>+U1912+V1912</f>
        <v>827.20760454190577</v>
      </c>
      <c r="U1912" s="75">
        <f>+U1911*V1912/V1911</f>
        <v>107.20760454190578</v>
      </c>
      <c r="V1912" s="3125">
        <v>720</v>
      </c>
      <c r="W1912" s="2143"/>
    </row>
    <row r="1913" spans="4:23" ht="13.5">
      <c r="D1913" s="3143"/>
      <c r="I1913" s="3144" t="s">
        <v>416</v>
      </c>
      <c r="J1913" s="2828" t="s">
        <v>5219</v>
      </c>
      <c r="K1913" s="2834"/>
      <c r="L1913" s="2844"/>
      <c r="M1913" s="3145">
        <v>23</v>
      </c>
      <c r="N1913" s="2844">
        <v>0</v>
      </c>
      <c r="O1913" s="3145"/>
      <c r="P1913" s="2848">
        <f t="shared" si="104"/>
        <v>0</v>
      </c>
      <c r="Q1913" s="2850"/>
      <c r="R1913" s="3102">
        <f t="shared" si="103"/>
        <v>0</v>
      </c>
      <c r="S1913" s="3142"/>
      <c r="T1913" s="3130">
        <f>+T1911-T1912</f>
        <v>11.592395458094188</v>
      </c>
      <c r="U1913" s="75"/>
      <c r="V1913" s="143"/>
      <c r="W1913" s="2396" t="s">
        <v>5436</v>
      </c>
    </row>
    <row r="1914" spans="4:23" ht="13.5">
      <c r="D1914" s="3143"/>
      <c r="I1914" s="3144" t="s">
        <v>5295</v>
      </c>
      <c r="J1914" s="2828" t="s">
        <v>5224</v>
      </c>
      <c r="K1914" s="2834"/>
      <c r="L1914" s="2844"/>
      <c r="M1914" s="3145"/>
      <c r="N1914" s="2844">
        <f>+M1914*3</f>
        <v>0</v>
      </c>
      <c r="O1914" s="3145">
        <v>44</v>
      </c>
      <c r="P1914" s="2848">
        <f t="shared" si="104"/>
        <v>150</v>
      </c>
      <c r="Q1914" s="2850"/>
      <c r="R1914" s="3102">
        <f t="shared" si="103"/>
        <v>150</v>
      </c>
      <c r="S1914" s="3142"/>
      <c r="T1914" s="3131">
        <v>150</v>
      </c>
      <c r="U1914" s="3159">
        <f>+T1914-T1913</f>
        <v>138.40760454190581</v>
      </c>
      <c r="V1914" s="3160" t="s">
        <v>5435</v>
      </c>
      <c r="W1914" s="2765">
        <f>150-U1914</f>
        <v>11.592395458094188</v>
      </c>
    </row>
    <row r="1915" spans="4:23" ht="13.5">
      <c r="D1915" s="3143"/>
      <c r="I1915" s="3144" t="s">
        <v>5128</v>
      </c>
      <c r="J1915" s="2828" t="s">
        <v>5220</v>
      </c>
      <c r="K1915" s="2825"/>
      <c r="L1915" s="2844">
        <v>0</v>
      </c>
      <c r="M1915" s="2826"/>
      <c r="N1915" s="2844">
        <f>+M1915*3</f>
        <v>0</v>
      </c>
      <c r="O1915" s="3145">
        <v>29</v>
      </c>
      <c r="P1915" s="2848">
        <f t="shared" si="104"/>
        <v>150</v>
      </c>
      <c r="Q1915" s="2850"/>
      <c r="R1915" s="3101">
        <f t="shared" si="103"/>
        <v>150</v>
      </c>
      <c r="S1915" s="3142"/>
      <c r="T1915" s="2871"/>
      <c r="W1915" s="2143"/>
    </row>
    <row r="1916" spans="4:23" ht="13.5">
      <c r="D1916" s="3143"/>
      <c r="I1916" s="3144" t="s">
        <v>5118</v>
      </c>
      <c r="J1916" s="2830" t="s">
        <v>5319</v>
      </c>
      <c r="K1916" s="2825"/>
      <c r="L1916" s="2844">
        <f>+K1916*3</f>
        <v>0</v>
      </c>
      <c r="M1916" s="2826">
        <v>27</v>
      </c>
      <c r="N1916" s="2844">
        <f>+M1916*3</f>
        <v>81</v>
      </c>
      <c r="O1916" s="3145"/>
      <c r="P1916" s="2848">
        <f t="shared" si="104"/>
        <v>0</v>
      </c>
      <c r="Q1916" s="2849"/>
      <c r="R1916" s="3101">
        <f t="shared" si="103"/>
        <v>81</v>
      </c>
      <c r="S1916" s="3142"/>
      <c r="T1916" s="3126">
        <v>964.8</v>
      </c>
      <c r="U1916" s="3127">
        <v>125.42</v>
      </c>
      <c r="V1916" s="3128">
        <v>839.38</v>
      </c>
      <c r="W1916" s="3161" t="s">
        <v>5264</v>
      </c>
    </row>
    <row r="1917" spans="4:23" ht="13.5">
      <c r="D1917" s="3143"/>
      <c r="H1917" s="3024" t="s">
        <v>5362</v>
      </c>
      <c r="I1917" s="3025" t="s">
        <v>929</v>
      </c>
      <c r="J1917" s="3026" t="s">
        <v>5384</v>
      </c>
      <c r="K1917" s="3027"/>
      <c r="L1917" s="3028">
        <f>+K1917*3</f>
        <v>0</v>
      </c>
      <c r="M1917" s="3029"/>
      <c r="N1917" s="3028">
        <f t="shared" ref="N1917:N1934" si="105">+M1917*3</f>
        <v>0</v>
      </c>
      <c r="O1917" s="3030"/>
      <c r="P1917" s="3031">
        <f t="shared" si="104"/>
        <v>0</v>
      </c>
      <c r="Q1917" s="3032"/>
      <c r="R1917" s="3104">
        <f t="shared" si="103"/>
        <v>0</v>
      </c>
      <c r="S1917" s="3142"/>
      <c r="T1917" s="3129">
        <f>+U1917+V1917</f>
        <v>827.58226309895394</v>
      </c>
      <c r="U1917" s="75">
        <f>+U1916*V1917/V1916</f>
        <v>107.58226309895399</v>
      </c>
      <c r="V1917" s="3125">
        <v>720</v>
      </c>
      <c r="W1917" s="2143"/>
    </row>
    <row r="1918" spans="4:23" ht="13.5">
      <c r="D1918" s="3143"/>
      <c r="I1918" s="3144" t="s">
        <v>5222</v>
      </c>
      <c r="J1918" s="2828" t="s">
        <v>5223</v>
      </c>
      <c r="K1918" s="2834"/>
      <c r="L1918" s="2844"/>
      <c r="M1918" s="3145"/>
      <c r="N1918" s="2844">
        <f t="shared" si="105"/>
        <v>0</v>
      </c>
      <c r="O1918" s="3145">
        <v>34</v>
      </c>
      <c r="P1918" s="2848">
        <f t="shared" si="104"/>
        <v>150</v>
      </c>
      <c r="Q1918" s="2850"/>
      <c r="R1918" s="3101">
        <f t="shared" si="103"/>
        <v>150</v>
      </c>
      <c r="S1918" s="3142"/>
      <c r="T1918" s="3130">
        <f>+T1916-T1917</f>
        <v>137.21773690104601</v>
      </c>
      <c r="U1918" s="75"/>
      <c r="V1918" s="143"/>
      <c r="W1918" s="2396" t="s">
        <v>5436</v>
      </c>
    </row>
    <row r="1919" spans="4:23" ht="13.5">
      <c r="D1919" s="3143"/>
      <c r="I1919" s="3144" t="s">
        <v>5252</v>
      </c>
      <c r="J1919" s="2828" t="s">
        <v>5253</v>
      </c>
      <c r="K1919" s="2825"/>
      <c r="L1919" s="2844">
        <f>+K1919*3</f>
        <v>0</v>
      </c>
      <c r="M1919" s="2826"/>
      <c r="N1919" s="2844">
        <f t="shared" si="105"/>
        <v>0</v>
      </c>
      <c r="O1919" s="3145"/>
      <c r="P1919" s="2848">
        <f t="shared" si="104"/>
        <v>0</v>
      </c>
      <c r="Q1919" s="2850"/>
      <c r="R1919" s="3101">
        <f t="shared" si="103"/>
        <v>0</v>
      </c>
      <c r="S1919" s="3142"/>
      <c r="T1919" s="3131">
        <v>150</v>
      </c>
      <c r="U1919" s="3159">
        <f>+T1919-T1918+0.01</f>
        <v>12.79226309895399</v>
      </c>
      <c r="V1919" s="3160" t="s">
        <v>5435</v>
      </c>
      <c r="W1919" s="2765">
        <f>150-U1919</f>
        <v>137.20773690104602</v>
      </c>
    </row>
    <row r="1920" spans="4:23" ht="13.5">
      <c r="D1920" s="3143"/>
      <c r="I1920" s="3072" t="s">
        <v>799</v>
      </c>
      <c r="J1920" s="3073" t="s">
        <v>5225</v>
      </c>
      <c r="K1920" s="3074"/>
      <c r="L1920" s="3075"/>
      <c r="M1920" s="3076"/>
      <c r="N1920" s="3075">
        <f t="shared" si="105"/>
        <v>0</v>
      </c>
      <c r="O1920" s="3076"/>
      <c r="P1920" s="2848">
        <f t="shared" si="104"/>
        <v>0</v>
      </c>
      <c r="Q1920" s="2850"/>
      <c r="R1920" s="3102">
        <f t="shared" si="103"/>
        <v>0</v>
      </c>
      <c r="S1920" s="3142"/>
      <c r="T1920" s="2871"/>
      <c r="W1920" s="2143"/>
    </row>
    <row r="1921" spans="4:23" ht="13.5">
      <c r="D1921" s="3143"/>
      <c r="I1921" s="3072" t="s">
        <v>793</v>
      </c>
      <c r="J1921" s="3073" t="s">
        <v>5226</v>
      </c>
      <c r="K1921" s="3074"/>
      <c r="L1921" s="3075"/>
      <c r="M1921" s="3076"/>
      <c r="N1921" s="3075">
        <f t="shared" si="105"/>
        <v>0</v>
      </c>
      <c r="O1921" s="3076">
        <v>50</v>
      </c>
      <c r="P1921" s="2848">
        <f t="shared" si="104"/>
        <v>150</v>
      </c>
      <c r="Q1921" s="2850"/>
      <c r="R1921" s="3102">
        <f t="shared" si="103"/>
        <v>150</v>
      </c>
      <c r="S1921" s="3142"/>
      <c r="T1921" s="3126">
        <v>1000.8</v>
      </c>
      <c r="U1921" s="3127">
        <v>130.1</v>
      </c>
      <c r="V1921" s="3128">
        <v>870.7</v>
      </c>
      <c r="W1921" s="3161" t="s">
        <v>5327</v>
      </c>
    </row>
    <row r="1922" spans="4:23" ht="13.5">
      <c r="D1922" s="3143"/>
      <c r="I1922" s="3144" t="s">
        <v>5227</v>
      </c>
      <c r="J1922" s="2828" t="s">
        <v>5228</v>
      </c>
      <c r="K1922" s="2834"/>
      <c r="L1922" s="2844"/>
      <c r="M1922" s="3145"/>
      <c r="N1922" s="2844">
        <f t="shared" si="105"/>
        <v>0</v>
      </c>
      <c r="O1922" s="3145">
        <v>37</v>
      </c>
      <c r="P1922" s="2848">
        <f t="shared" si="104"/>
        <v>150</v>
      </c>
      <c r="Q1922" s="2850"/>
      <c r="R1922" s="3101">
        <f t="shared" si="103"/>
        <v>150</v>
      </c>
      <c r="S1922" s="3142"/>
      <c r="T1922" s="3129">
        <f>+U1922+V1922</f>
        <v>827.58240496152519</v>
      </c>
      <c r="U1922" s="75">
        <f>+U1921*V1922/V1921</f>
        <v>107.5824049615252</v>
      </c>
      <c r="V1922" s="3125">
        <v>720</v>
      </c>
      <c r="W1922" s="3163">
        <v>740.02</v>
      </c>
    </row>
    <row r="1923" spans="4:23" ht="13.5">
      <c r="D1923" s="3143"/>
      <c r="I1923" s="3144" t="s">
        <v>5287</v>
      </c>
      <c r="J1923" s="2828" t="s">
        <v>5288</v>
      </c>
      <c r="K1923" s="2834"/>
      <c r="L1923" s="2844"/>
      <c r="M1923" s="3145">
        <v>21</v>
      </c>
      <c r="N1923" s="2844">
        <v>0</v>
      </c>
      <c r="O1923" s="3145"/>
      <c r="P1923" s="2848">
        <f t="shared" si="104"/>
        <v>0</v>
      </c>
      <c r="Q1923" s="2850"/>
      <c r="R1923" s="3101">
        <f t="shared" si="103"/>
        <v>0</v>
      </c>
      <c r="S1923" s="3142"/>
      <c r="T1923" s="3130">
        <f>+T1921-T1922</f>
        <v>173.21759503847477</v>
      </c>
      <c r="U1923" s="75"/>
      <c r="V1923" s="143"/>
      <c r="W1923" s="2143"/>
    </row>
    <row r="1924" spans="4:23" ht="13.5">
      <c r="D1924" s="3143"/>
      <c r="I1924" s="3144" t="s">
        <v>5100</v>
      </c>
      <c r="J1924" s="2828" t="s">
        <v>5229</v>
      </c>
      <c r="K1924" s="2834"/>
      <c r="L1924" s="2844"/>
      <c r="M1924" s="3145"/>
      <c r="N1924" s="2844">
        <f t="shared" si="105"/>
        <v>0</v>
      </c>
      <c r="O1924" s="3145">
        <v>44</v>
      </c>
      <c r="P1924" s="2848">
        <f t="shared" si="104"/>
        <v>150</v>
      </c>
      <c r="Q1924" s="2850"/>
      <c r="R1924" s="3101">
        <f t="shared" si="103"/>
        <v>150</v>
      </c>
      <c r="S1924" s="3142"/>
      <c r="T1924" s="3131">
        <v>150</v>
      </c>
      <c r="U1924" s="3159">
        <f>+T1924-T1923</f>
        <v>-23.217595038474769</v>
      </c>
      <c r="V1924" s="3160" t="s">
        <v>5435</v>
      </c>
      <c r="W1924" s="3162">
        <v>0.01</v>
      </c>
    </row>
    <row r="1925" spans="4:23" ht="13.5">
      <c r="D1925" s="3143"/>
      <c r="I1925" s="3144" t="s">
        <v>5230</v>
      </c>
      <c r="J1925" s="2828" t="s">
        <v>5231</v>
      </c>
      <c r="K1925" s="2834"/>
      <c r="L1925" s="2844"/>
      <c r="M1925" s="3145"/>
      <c r="N1925" s="2844">
        <f t="shared" si="105"/>
        <v>0</v>
      </c>
      <c r="O1925" s="3145"/>
      <c r="P1925" s="2848">
        <f t="shared" si="104"/>
        <v>0</v>
      </c>
      <c r="Q1925" s="2850"/>
      <c r="R1925" s="3101">
        <f t="shared" si="103"/>
        <v>0</v>
      </c>
      <c r="S1925" s="3142"/>
      <c r="T1925" s="2871"/>
      <c r="W1925" s="2143"/>
    </row>
    <row r="1926" spans="4:23" ht="13.5">
      <c r="D1926" s="3143"/>
      <c r="H1926" s="3024" t="s">
        <v>5362</v>
      </c>
      <c r="I1926" s="3025" t="s">
        <v>5120</v>
      </c>
      <c r="J1926" s="3026" t="s">
        <v>3321</v>
      </c>
      <c r="K1926" s="3027"/>
      <c r="L1926" s="3028">
        <f>+K1926*3</f>
        <v>0</v>
      </c>
      <c r="M1926" s="3029"/>
      <c r="N1926" s="3028">
        <f t="shared" si="105"/>
        <v>0</v>
      </c>
      <c r="O1926" s="3030"/>
      <c r="P1926" s="3031">
        <f t="shared" si="104"/>
        <v>0</v>
      </c>
      <c r="Q1926" s="3032"/>
      <c r="R1926" s="3104">
        <f t="shared" si="103"/>
        <v>0</v>
      </c>
      <c r="S1926" s="3142"/>
      <c r="T1926" s="3126">
        <v>946.8</v>
      </c>
      <c r="U1926" s="3127">
        <v>123.08</v>
      </c>
      <c r="V1926" s="3128">
        <v>823.72</v>
      </c>
      <c r="W1926" s="3161" t="s">
        <v>5266</v>
      </c>
    </row>
    <row r="1927" spans="4:23" ht="13.5">
      <c r="D1927" s="3143"/>
      <c r="I1927" s="3144" t="s">
        <v>5232</v>
      </c>
      <c r="J1927" s="2828" t="s">
        <v>5233</v>
      </c>
      <c r="K1927" s="2834"/>
      <c r="L1927" s="2844"/>
      <c r="M1927" s="3145"/>
      <c r="N1927" s="2844">
        <f t="shared" si="105"/>
        <v>0</v>
      </c>
      <c r="O1927" s="3145">
        <v>47</v>
      </c>
      <c r="P1927" s="2848">
        <f t="shared" si="104"/>
        <v>150</v>
      </c>
      <c r="Q1927" s="2850"/>
      <c r="R1927" s="3101">
        <f t="shared" si="103"/>
        <v>150</v>
      </c>
      <c r="S1927" s="3142"/>
      <c r="T1927" s="3129">
        <f>+U1927+V1927</f>
        <v>827.5821881221774</v>
      </c>
      <c r="U1927" s="75">
        <f>+U1926*V1927/V1926</f>
        <v>107.58218812217744</v>
      </c>
      <c r="V1927" s="3125">
        <v>720</v>
      </c>
      <c r="W1927" s="2143"/>
    </row>
    <row r="1928" spans="4:23" ht="13.5">
      <c r="D1928" s="3143"/>
      <c r="I1928" s="3144" t="s">
        <v>5194</v>
      </c>
      <c r="J1928" s="2828" t="s">
        <v>5251</v>
      </c>
      <c r="K1928" s="2825"/>
      <c r="L1928" s="2844">
        <v>0</v>
      </c>
      <c r="M1928" s="2826"/>
      <c r="N1928" s="2844">
        <f t="shared" si="105"/>
        <v>0</v>
      </c>
      <c r="O1928" s="3145">
        <v>31</v>
      </c>
      <c r="P1928" s="2848">
        <f t="shared" si="104"/>
        <v>150</v>
      </c>
      <c r="Q1928" s="2850"/>
      <c r="R1928" s="3101">
        <f t="shared" si="103"/>
        <v>150</v>
      </c>
      <c r="S1928" s="3142"/>
      <c r="T1928" s="3130">
        <f>+T1926-T1927</f>
        <v>119.21781187782256</v>
      </c>
      <c r="U1928" s="75"/>
      <c r="V1928" s="143"/>
      <c r="W1928" s="2396" t="s">
        <v>5436</v>
      </c>
    </row>
    <row r="1929" spans="4:23" ht="13.5">
      <c r="D1929" s="3143"/>
      <c r="I1929" s="3144" t="s">
        <v>5285</v>
      </c>
      <c r="J1929" s="2830" t="s">
        <v>5284</v>
      </c>
      <c r="K1929" s="2825"/>
      <c r="L1929" s="2844">
        <v>0</v>
      </c>
      <c r="M1929" s="2826"/>
      <c r="N1929" s="2844">
        <f t="shared" si="105"/>
        <v>0</v>
      </c>
      <c r="O1929" s="2827"/>
      <c r="P1929" s="2848">
        <f t="shared" si="104"/>
        <v>0</v>
      </c>
      <c r="Q1929" s="2849"/>
      <c r="R1929" s="3101">
        <f t="shared" si="103"/>
        <v>0</v>
      </c>
      <c r="S1929" s="3142"/>
      <c r="T1929" s="3131">
        <v>150</v>
      </c>
      <c r="U1929" s="3159">
        <f>+T1929-T1928+0.01</f>
        <v>30.792188122177446</v>
      </c>
      <c r="V1929" s="3160" t="s">
        <v>5435</v>
      </c>
      <c r="W1929" s="2765">
        <f>150-U1929</f>
        <v>119.20781187782255</v>
      </c>
    </row>
    <row r="1930" spans="4:23" ht="13.5">
      <c r="D1930" s="3143"/>
      <c r="I1930" s="3144" t="s">
        <v>5121</v>
      </c>
      <c r="J1930" s="2830" t="s">
        <v>5122</v>
      </c>
      <c r="K1930" s="2825"/>
      <c r="L1930" s="2844">
        <v>0</v>
      </c>
      <c r="M1930" s="2826"/>
      <c r="N1930" s="2844">
        <f t="shared" si="105"/>
        <v>0</v>
      </c>
      <c r="O1930" s="3145">
        <v>38</v>
      </c>
      <c r="P1930" s="2848">
        <f t="shared" si="104"/>
        <v>150</v>
      </c>
      <c r="Q1930" s="2849"/>
      <c r="R1930" s="3101">
        <f t="shared" si="103"/>
        <v>150</v>
      </c>
      <c r="S1930" s="3142"/>
      <c r="T1930" s="2871"/>
      <c r="W1930" s="2143"/>
    </row>
    <row r="1931" spans="4:23" ht="13.5">
      <c r="D1931" s="3143"/>
      <c r="I1931" s="3144" t="s">
        <v>5235</v>
      </c>
      <c r="J1931" s="2830" t="s">
        <v>5320</v>
      </c>
      <c r="K1931" s="2825"/>
      <c r="L1931" s="2844">
        <v>0</v>
      </c>
      <c r="M1931" s="2826"/>
      <c r="N1931" s="2844">
        <f t="shared" si="105"/>
        <v>0</v>
      </c>
      <c r="O1931" s="3145">
        <v>36</v>
      </c>
      <c r="P1931" s="2848">
        <f t="shared" si="104"/>
        <v>150</v>
      </c>
      <c r="Q1931" s="2849"/>
      <c r="R1931" s="3101">
        <f t="shared" si="103"/>
        <v>150</v>
      </c>
      <c r="S1931" s="3142"/>
      <c r="T1931" s="3126">
        <v>946.8</v>
      </c>
      <c r="U1931" s="3127">
        <v>117.69</v>
      </c>
      <c r="V1931" s="3128">
        <v>829.11</v>
      </c>
      <c r="W1931" s="3161" t="s">
        <v>5268</v>
      </c>
    </row>
    <row r="1932" spans="4:23" ht="13.5">
      <c r="D1932" s="3143"/>
      <c r="I1932" s="3144" t="s">
        <v>5237</v>
      </c>
      <c r="J1932" s="2828" t="s">
        <v>5238</v>
      </c>
      <c r="K1932" s="3144"/>
      <c r="L1932" s="2844">
        <f>+K1932*3</f>
        <v>0</v>
      </c>
      <c r="M1932" s="3145">
        <v>16</v>
      </c>
      <c r="N1932" s="2844">
        <f t="shared" si="105"/>
        <v>48</v>
      </c>
      <c r="O1932" s="3145"/>
      <c r="P1932" s="2848">
        <f>IF(O1932&gt;25,150,(O1932)*6)</f>
        <v>0</v>
      </c>
      <c r="Q1932" s="2850"/>
      <c r="R1932" s="3101">
        <f t="shared" ref="R1932:R1937" si="106">+L1932+N1932+P1932+Q1932</f>
        <v>48</v>
      </c>
      <c r="S1932" s="3087"/>
      <c r="T1932" s="3129">
        <f>+U1932+V1932</f>
        <v>822.20212034591304</v>
      </c>
      <c r="U1932" s="75">
        <f>+U1931*V1932/V1931</f>
        <v>102.20212034591309</v>
      </c>
      <c r="V1932" s="3125">
        <v>720</v>
      </c>
      <c r="W1932" s="2143"/>
    </row>
    <row r="1933" spans="4:23" s="2396" customFormat="1" ht="13.5">
      <c r="D1933" s="2680"/>
      <c r="F1933" s="3153"/>
      <c r="I1933" s="3072" t="s">
        <v>5101</v>
      </c>
      <c r="J1933" s="3073" t="s">
        <v>5289</v>
      </c>
      <c r="K1933" s="3078"/>
      <c r="L1933" s="3075">
        <f>+K1933*3</f>
        <v>0</v>
      </c>
      <c r="M1933" s="3079"/>
      <c r="N1933" s="2844">
        <f t="shared" si="105"/>
        <v>0</v>
      </c>
      <c r="O1933" s="3076">
        <v>45</v>
      </c>
      <c r="P1933" s="2848">
        <f>IF(O1933&gt;25,150,(O1933)*6)</f>
        <v>150</v>
      </c>
      <c r="Q1933" s="2850"/>
      <c r="R1933" s="3095">
        <f t="shared" si="106"/>
        <v>150</v>
      </c>
      <c r="S1933" s="2808"/>
      <c r="T1933" s="3130">
        <f>+T1931-T1932</f>
        <v>124.59787965408691</v>
      </c>
      <c r="U1933" s="75"/>
      <c r="V1933" s="143"/>
      <c r="W1933" s="2396" t="s">
        <v>5436</v>
      </c>
    </row>
    <row r="1934" spans="4:23" ht="13.5">
      <c r="D1934" s="3143"/>
      <c r="I1934" s="3144" t="s">
        <v>5102</v>
      </c>
      <c r="J1934" s="2830" t="s">
        <v>5098</v>
      </c>
      <c r="K1934" s="2825"/>
      <c r="L1934" s="2844">
        <f>+K1934*3</f>
        <v>0</v>
      </c>
      <c r="M1934" s="2826">
        <v>29</v>
      </c>
      <c r="N1934" s="2844">
        <f t="shared" si="105"/>
        <v>87</v>
      </c>
      <c r="O1934" s="3145"/>
      <c r="P1934" s="2847">
        <f t="shared" ref="P1934:P1942" si="107">IF(O1934&gt;25,150,(O1934)*6)</f>
        <v>0</v>
      </c>
      <c r="Q1934" s="2849"/>
      <c r="R1934" s="3101">
        <f t="shared" si="106"/>
        <v>87</v>
      </c>
      <c r="S1934" s="3087"/>
      <c r="T1934" s="3131">
        <v>150</v>
      </c>
      <c r="U1934" s="3159">
        <f>+T1934-T1933</f>
        <v>25.40212034591309</v>
      </c>
      <c r="V1934" s="3160" t="s">
        <v>5435</v>
      </c>
      <c r="W1934" s="2765">
        <f>150-U1934</f>
        <v>124.59787965408691</v>
      </c>
    </row>
    <row r="1935" spans="4:23" ht="13.5">
      <c r="D1935" s="3143"/>
      <c r="I1935" s="3144" t="s">
        <v>5103</v>
      </c>
      <c r="J1935" s="2828" t="s">
        <v>5410</v>
      </c>
      <c r="K1935" s="2834"/>
      <c r="L1935" s="2844"/>
      <c r="M1935" s="3145">
        <v>19</v>
      </c>
      <c r="N1935" s="2844">
        <v>0</v>
      </c>
      <c r="O1935" s="3145"/>
      <c r="P1935" s="2848">
        <f t="shared" si="107"/>
        <v>0</v>
      </c>
      <c r="Q1935" s="2850">
        <v>20</v>
      </c>
      <c r="R1935" s="3101">
        <f t="shared" si="106"/>
        <v>20</v>
      </c>
      <c r="S1935" s="3087"/>
      <c r="W1935" s="2143"/>
    </row>
    <row r="1936" spans="4:23" ht="13.5">
      <c r="D1936" s="3143"/>
      <c r="I1936" s="3072" t="s">
        <v>5324</v>
      </c>
      <c r="J1936" s="3073" t="s">
        <v>5325</v>
      </c>
      <c r="K1936" s="3074"/>
      <c r="L1936" s="3075"/>
      <c r="M1936" s="3076"/>
      <c r="N1936" s="3075">
        <f>+M1936*3</f>
        <v>0</v>
      </c>
      <c r="O1936" s="3076">
        <v>23</v>
      </c>
      <c r="P1936" s="2848">
        <f t="shared" si="107"/>
        <v>138</v>
      </c>
      <c r="Q1936" s="2850"/>
      <c r="R1936" s="3102">
        <f t="shared" si="106"/>
        <v>138</v>
      </c>
      <c r="S1936" s="3087"/>
      <c r="T1936" s="3126">
        <v>1054.8</v>
      </c>
      <c r="U1936" s="3127">
        <v>136.18</v>
      </c>
      <c r="V1936" s="3128">
        <v>918.62</v>
      </c>
      <c r="W1936" s="3161" t="s">
        <v>5270</v>
      </c>
    </row>
    <row r="1937" spans="1:23" ht="13.5">
      <c r="D1937" s="3143"/>
      <c r="I1937" s="3072" t="s">
        <v>5433</v>
      </c>
      <c r="J1937" s="3073" t="s">
        <v>5253</v>
      </c>
      <c r="K1937" s="3074"/>
      <c r="L1937" s="3075"/>
      <c r="M1937" s="3076">
        <v>21</v>
      </c>
      <c r="N1937" s="3075">
        <v>0</v>
      </c>
      <c r="O1937" s="3076"/>
      <c r="P1937" s="2848">
        <f>IF(O1937&gt;25,150,(O1937)*6)</f>
        <v>0</v>
      </c>
      <c r="Q1937" s="2850"/>
      <c r="R1937" s="3102">
        <f t="shared" si="106"/>
        <v>0</v>
      </c>
      <c r="S1937" s="3087"/>
      <c r="T1937" s="3129">
        <f>+U1937+V1937</f>
        <v>826.73575580762451</v>
      </c>
      <c r="U1937" s="75">
        <f>+U1936*V1937/V1936</f>
        <v>106.73575580762449</v>
      </c>
      <c r="V1937" s="3125">
        <v>720</v>
      </c>
      <c r="W1937" s="3163">
        <v>788</v>
      </c>
    </row>
    <row r="1938" spans="1:23" ht="13.5">
      <c r="D1938" s="3143"/>
      <c r="I1938" s="3072" t="s">
        <v>5312</v>
      </c>
      <c r="J1938" s="3073" t="s">
        <v>5313</v>
      </c>
      <c r="K1938" s="3074"/>
      <c r="L1938" s="3075">
        <v>0</v>
      </c>
      <c r="M1938" s="3076"/>
      <c r="N1938" s="3075">
        <f>+M1938*3</f>
        <v>0</v>
      </c>
      <c r="O1938" s="3076">
        <v>2</v>
      </c>
      <c r="P1938" s="2848">
        <f t="shared" si="107"/>
        <v>12</v>
      </c>
      <c r="Q1938" s="2850"/>
      <c r="R1938" s="3102">
        <f t="shared" ref="R1938:R1943" si="108">+L1938+N1938+P1938+Q1938</f>
        <v>12</v>
      </c>
      <c r="S1938" s="3087"/>
      <c r="T1938" s="3130">
        <f>+T1936-T1937</f>
        <v>228.06424419237544</v>
      </c>
      <c r="U1938" s="75"/>
      <c r="V1938" s="143"/>
      <c r="W1938" s="2143"/>
    </row>
    <row r="1939" spans="1:23" ht="13.5">
      <c r="D1939" s="3143"/>
      <c r="I1939" s="3144" t="s">
        <v>5375</v>
      </c>
      <c r="J1939" s="2828" t="s">
        <v>5376</v>
      </c>
      <c r="K1939" s="2834"/>
      <c r="L1939" s="2844">
        <v>0</v>
      </c>
      <c r="M1939" s="3145"/>
      <c r="N1939" s="2844">
        <f>+M1939*3</f>
        <v>0</v>
      </c>
      <c r="O1939" s="3145">
        <v>19</v>
      </c>
      <c r="P1939" s="2848">
        <f t="shared" si="107"/>
        <v>114</v>
      </c>
      <c r="Q1939" s="2850"/>
      <c r="R1939" s="3101">
        <f t="shared" si="108"/>
        <v>114</v>
      </c>
      <c r="S1939" s="3087"/>
      <c r="T1939" s="3131">
        <v>150</v>
      </c>
      <c r="U1939" s="3159">
        <f>+T1939-T1938</f>
        <v>-78.06424419237544</v>
      </c>
      <c r="V1939" s="3160" t="s">
        <v>5435</v>
      </c>
      <c r="W1939" s="3162">
        <v>0.01</v>
      </c>
    </row>
    <row r="1940" spans="1:23" ht="13.5">
      <c r="D1940" s="3143"/>
      <c r="I1940" s="3144" t="s">
        <v>5377</v>
      </c>
      <c r="J1940" s="2830" t="s">
        <v>5378</v>
      </c>
      <c r="K1940" s="2825"/>
      <c r="L1940" s="2844">
        <v>0</v>
      </c>
      <c r="M1940" s="2826">
        <v>19</v>
      </c>
      <c r="N1940" s="2844">
        <v>0</v>
      </c>
      <c r="O1940" s="3145"/>
      <c r="P1940" s="2848">
        <f t="shared" si="107"/>
        <v>0</v>
      </c>
      <c r="Q1940" s="2849"/>
      <c r="R1940" s="3101">
        <f t="shared" si="108"/>
        <v>0</v>
      </c>
      <c r="S1940" s="3142"/>
      <c r="W1940" s="2143"/>
    </row>
    <row r="1941" spans="1:23" ht="13.5">
      <c r="D1941" s="3143"/>
      <c r="I1941" s="3144" t="s">
        <v>5406</v>
      </c>
      <c r="J1941" s="2830" t="s">
        <v>5407</v>
      </c>
      <c r="K1941" s="2825"/>
      <c r="L1941" s="2844">
        <v>0</v>
      </c>
      <c r="M1941" s="2826"/>
      <c r="N1941" s="2844">
        <v>0</v>
      </c>
      <c r="O1941" s="3145"/>
      <c r="P1941" s="2848">
        <f t="shared" si="107"/>
        <v>0</v>
      </c>
      <c r="Q1941" s="2849"/>
      <c r="R1941" s="3101">
        <f t="shared" si="108"/>
        <v>0</v>
      </c>
      <c r="S1941" s="3142"/>
      <c r="T1941" s="3126">
        <v>964.8</v>
      </c>
      <c r="U1941" s="3127">
        <v>113.27</v>
      </c>
      <c r="V1941" s="3128">
        <v>851.53</v>
      </c>
      <c r="W1941" s="3161" t="s">
        <v>5274</v>
      </c>
    </row>
    <row r="1942" spans="1:23" ht="13.5">
      <c r="D1942" s="3143"/>
      <c r="I1942" s="2837" t="s">
        <v>5415</v>
      </c>
      <c r="J1942" s="2880" t="s">
        <v>5416</v>
      </c>
      <c r="K1942" s="2881"/>
      <c r="L1942" s="2882">
        <v>0</v>
      </c>
      <c r="M1942" s="2883">
        <v>1E-83</v>
      </c>
      <c r="N1942" s="2882">
        <v>60</v>
      </c>
      <c r="O1942" s="2972"/>
      <c r="P1942" s="2885">
        <f t="shared" si="107"/>
        <v>0</v>
      </c>
      <c r="Q1942" s="2886"/>
      <c r="R1942" s="3105">
        <f t="shared" si="108"/>
        <v>60</v>
      </c>
      <c r="S1942" s="3142"/>
      <c r="T1942" s="3129">
        <f>+U1942+V1942</f>
        <v>815.77395981351219</v>
      </c>
      <c r="U1942" s="75">
        <f>+U1941*V1942/V1941</f>
        <v>95.77395981351215</v>
      </c>
      <c r="V1942" s="3125">
        <v>720</v>
      </c>
    </row>
    <row r="1943" spans="1:23" ht="13.5">
      <c r="D1943" s="3143"/>
      <c r="I1943" s="2839"/>
      <c r="J1943" s="2840"/>
      <c r="K1943" s="2963">
        <f t="shared" ref="K1943:Q1943" si="109">SUM(K1906:K1942)</f>
        <v>0</v>
      </c>
      <c r="L1943" s="2964">
        <f t="shared" si="109"/>
        <v>0</v>
      </c>
      <c r="M1943" s="2877">
        <f t="shared" si="109"/>
        <v>264</v>
      </c>
      <c r="N1943" s="2879">
        <f t="shared" si="109"/>
        <v>406</v>
      </c>
      <c r="O1943" s="2877">
        <f t="shared" si="109"/>
        <v>526</v>
      </c>
      <c r="P1943" s="2879">
        <f t="shared" si="109"/>
        <v>2064</v>
      </c>
      <c r="Q1943" s="2879">
        <f t="shared" si="109"/>
        <v>40</v>
      </c>
      <c r="R1943" s="2878">
        <f t="shared" si="108"/>
        <v>2510</v>
      </c>
      <c r="S1943" s="3088"/>
      <c r="T1943" s="3130">
        <f>+T1941-T1942</f>
        <v>149.02604018648776</v>
      </c>
      <c r="U1943" s="75"/>
      <c r="V1943" s="143"/>
      <c r="W1943" s="2396" t="s">
        <v>5436</v>
      </c>
    </row>
    <row r="1944" spans="1:23" ht="13.5">
      <c r="D1944" s="3143"/>
      <c r="L1944" s="3156" t="s">
        <v>5395</v>
      </c>
      <c r="M1944" s="3154">
        <v>245</v>
      </c>
      <c r="N1944" s="3156" t="s">
        <v>5395</v>
      </c>
      <c r="O1944" s="3154">
        <f>+O1945-O1943</f>
        <v>-96</v>
      </c>
      <c r="P1944" s="3154">
        <f>+P1945-P1943</f>
        <v>-102</v>
      </c>
      <c r="Q1944" s="3154"/>
      <c r="R1944" s="3154"/>
      <c r="T1944" s="3131">
        <v>150</v>
      </c>
      <c r="U1944" s="3159">
        <f>+T1944-T1943</f>
        <v>0.97395981351223782</v>
      </c>
      <c r="V1944" s="3160" t="s">
        <v>5435</v>
      </c>
      <c r="W1944" s="2765">
        <f>150-U1944</f>
        <v>149.02604018648776</v>
      </c>
    </row>
    <row r="1945" spans="1:23" ht="15">
      <c r="D1945" s="3143"/>
      <c r="L1945" s="3155"/>
      <c r="M1945" s="3158">
        <f>+M1943-M1944</f>
        <v>19</v>
      </c>
      <c r="N1945" s="3157" t="s">
        <v>5434</v>
      </c>
      <c r="O1945" s="3155">
        <v>430</v>
      </c>
      <c r="P1945" s="3155">
        <v>1962</v>
      </c>
      <c r="Q1945" s="3157" t="s">
        <v>5423</v>
      </c>
      <c r="R1945" s="3155">
        <f>+R1943-R1942</f>
        <v>2450</v>
      </c>
    </row>
    <row r="1946" spans="1:23" ht="15">
      <c r="D1946" s="3283"/>
      <c r="I1946" s="3284" t="s">
        <v>5635</v>
      </c>
      <c r="J1946" s="3284"/>
      <c r="L1946" s="3155"/>
      <c r="M1946" s="3158"/>
      <c r="N1946" s="3157"/>
      <c r="O1946" s="3155"/>
      <c r="P1946" s="3155"/>
      <c r="Q1946" s="3157"/>
      <c r="R1946" s="3155"/>
    </row>
    <row r="1947" spans="1:23" ht="15">
      <c r="D1947" s="3283"/>
      <c r="I1947" s="3284" t="s">
        <v>5634</v>
      </c>
      <c r="J1947" s="3284" t="s">
        <v>5631</v>
      </c>
      <c r="L1947" s="3155"/>
      <c r="M1947" s="3158"/>
      <c r="N1947" s="3157"/>
      <c r="O1947" s="3155"/>
      <c r="P1947" s="3155"/>
      <c r="Q1947" s="3157"/>
      <c r="R1947" s="3155"/>
    </row>
    <row r="1948" spans="1:23" ht="15">
      <c r="D1948" s="3283"/>
      <c r="I1948" s="3284" t="s">
        <v>5629</v>
      </c>
      <c r="J1948" s="3284" t="s">
        <v>5630</v>
      </c>
      <c r="L1948" s="3155"/>
      <c r="M1948" s="3158"/>
      <c r="N1948" s="3157"/>
      <c r="O1948" s="3155"/>
      <c r="P1948" s="3155"/>
      <c r="Q1948" s="3157"/>
      <c r="R1948" s="3155"/>
    </row>
    <row r="1949" spans="1:23" ht="15">
      <c r="D1949" s="3283"/>
      <c r="I1949" s="3284" t="s">
        <v>5632</v>
      </c>
      <c r="J1949" s="3284" t="s">
        <v>5633</v>
      </c>
      <c r="L1949" s="3155"/>
      <c r="M1949" s="3158"/>
      <c r="N1949" s="3157"/>
      <c r="O1949" s="3155"/>
      <c r="P1949" s="3155"/>
      <c r="Q1949" s="3157"/>
      <c r="R1949" s="3155"/>
    </row>
    <row r="1950" spans="1:23" ht="13.5" thickBot="1">
      <c r="A1950" s="2396"/>
      <c r="J1950" s="3426" t="s">
        <v>5854</v>
      </c>
    </row>
    <row r="1951" spans="1:23" ht="54.95" customHeight="1">
      <c r="D1951" s="3336"/>
      <c r="I1951" s="3826" t="s">
        <v>5953</v>
      </c>
      <c r="J1951" s="3601" t="s">
        <v>5954</v>
      </c>
      <c r="L1951" s="3834" t="s">
        <v>5938</v>
      </c>
      <c r="M1951" s="3834"/>
      <c r="N1951" s="3834"/>
    </row>
    <row r="1952" spans="1:23" ht="8.1" customHeight="1" thickBot="1">
      <c r="I1952" s="3827"/>
      <c r="J1952" s="1902"/>
      <c r="N1952" s="134" t="s">
        <v>5949</v>
      </c>
    </row>
    <row r="1953" spans="4:17" ht="3.95" customHeight="1">
      <c r="D1953" s="3336"/>
      <c r="N1953" s="3635"/>
    </row>
    <row r="1954" spans="4:17" ht="20.25">
      <c r="I1954" s="3378" t="s">
        <v>5878</v>
      </c>
      <c r="J1954" s="3252"/>
      <c r="N1954" s="134" t="s">
        <v>5950</v>
      </c>
    </row>
    <row r="1955" spans="4:17">
      <c r="I1955" s="3412"/>
      <c r="J1955" s="3339">
        <v>43897</v>
      </c>
      <c r="Q1955">
        <v>5200</v>
      </c>
    </row>
    <row r="1956" spans="4:17" ht="3.95" customHeight="1">
      <c r="D1956" s="3336"/>
      <c r="I1956" s="3338"/>
      <c r="J1956" s="3337"/>
    </row>
    <row r="1957" spans="4:17" ht="13.5">
      <c r="I1957" s="3340" t="s">
        <v>5565</v>
      </c>
      <c r="J1957" s="3376" t="s">
        <v>3471</v>
      </c>
      <c r="Q1957">
        <f>+Q1955/3</f>
        <v>1733.3333333333333</v>
      </c>
    </row>
    <row r="1958" spans="4:17" ht="3.95" customHeight="1">
      <c r="J1958" s="3376"/>
    </row>
    <row r="1959" spans="4:17" ht="13.5">
      <c r="I1959" s="3340" t="s">
        <v>5566</v>
      </c>
      <c r="J1959" s="3376" t="s">
        <v>5617</v>
      </c>
      <c r="M1959" s="3251" t="s">
        <v>5618</v>
      </c>
      <c r="Q1959">
        <f>+Q1957*2</f>
        <v>3466.6666666666665</v>
      </c>
    </row>
    <row r="1960" spans="4:17" ht="3.95" customHeight="1">
      <c r="J1960" s="3376"/>
      <c r="K1960" s="3251"/>
    </row>
    <row r="1961" spans="4:17" ht="13.5">
      <c r="I1961" s="3340" t="s">
        <v>5567</v>
      </c>
      <c r="J1961" s="3376" t="s">
        <v>5948</v>
      </c>
      <c r="M1961" s="3251" t="s">
        <v>5617</v>
      </c>
    </row>
    <row r="1962" spans="4:17">
      <c r="D1962" s="3350"/>
      <c r="I1962" s="3583">
        <f>+J1955</f>
        <v>43897</v>
      </c>
      <c r="J1962" s="3584">
        <f>+J1955+6</f>
        <v>43903</v>
      </c>
      <c r="M1962" s="3367" t="s">
        <v>5828</v>
      </c>
      <c r="N1962" s="3367" t="s">
        <v>5829</v>
      </c>
    </row>
    <row r="1963" spans="4:17" s="1098" customFormat="1" ht="13.5" customHeight="1">
      <c r="D1963" s="504"/>
      <c r="F1963" s="3250"/>
      <c r="H1963" s="3398"/>
      <c r="I1963" s="3399"/>
      <c r="J1963" s="3581"/>
      <c r="K1963" s="3374">
        <f>+$J$1955-M1963</f>
        <v>16815</v>
      </c>
      <c r="L1963" s="3377">
        <f>365+K1963</f>
        <v>17180</v>
      </c>
      <c r="M1963" s="3585">
        <v>27082</v>
      </c>
      <c r="N1963" s="3631">
        <v>43883</v>
      </c>
    </row>
    <row r="1964" spans="4:17" s="1098" customFormat="1" ht="9.9499999999999993" customHeight="1">
      <c r="D1964" s="504"/>
      <c r="F1964" s="3250"/>
      <c r="H1964" s="3398"/>
      <c r="K1964" s="3374">
        <f>+$J$1955-M1964</f>
        <v>17231</v>
      </c>
      <c r="L1964" s="3377">
        <f>365+K1964</f>
        <v>17596</v>
      </c>
      <c r="M1964" s="3585">
        <v>26666</v>
      </c>
      <c r="N1964" s="3631">
        <v>43832</v>
      </c>
    </row>
    <row r="1965" spans="4:17" ht="9.9499999999999993" customHeight="1">
      <c r="I1965" s="3748"/>
      <c r="J1965" s="3749"/>
    </row>
    <row r="1966" spans="4:17" ht="15">
      <c r="I1966" s="3341" t="s">
        <v>5568</v>
      </c>
      <c r="J1966" s="3582" t="s">
        <v>5987</v>
      </c>
    </row>
    <row r="1967" spans="4:17" s="3226" customFormat="1" ht="31.5">
      <c r="D1967" s="3227"/>
      <c r="F1967" s="3422"/>
      <c r="J1967" s="3747" t="s">
        <v>5988</v>
      </c>
      <c r="N1967" s="2524"/>
      <c r="P1967" s="3226">
        <f>52/3</f>
        <v>17.333333333333332</v>
      </c>
    </row>
    <row r="1968" spans="4:17">
      <c r="I1968" s="3249" t="s">
        <v>5791</v>
      </c>
      <c r="P1968">
        <f>+P1967*2</f>
        <v>34.666666666666664</v>
      </c>
    </row>
    <row r="1969" spans="10:10" ht="5.0999999999999996" customHeight="1"/>
    <row r="1972" spans="10:10" ht="13.5">
      <c r="J1972" s="3376" t="s">
        <v>5952</v>
      </c>
    </row>
    <row r="1973" spans="10:10" ht="13.5">
      <c r="J1973" s="3376" t="s">
        <v>3471</v>
      </c>
    </row>
    <row r="1974" spans="10:10" ht="13.5">
      <c r="J1974" s="3376" t="s">
        <v>5618</v>
      </c>
    </row>
    <row r="1975" spans="10:10" ht="13.5">
      <c r="J1975" s="3376" t="s">
        <v>5948</v>
      </c>
    </row>
    <row r="1976" spans="10:10" ht="13.5">
      <c r="J1976" s="3376"/>
    </row>
  </sheetData>
  <sortState ref="I1963:N1965">
    <sortCondition ref="I1963:I1965"/>
  </sortState>
  <mergeCells count="87">
    <mergeCell ref="U1573:V1573"/>
    <mergeCell ref="I1651:R1651"/>
    <mergeCell ref="K1652:N1652"/>
    <mergeCell ref="O1652:P1652"/>
    <mergeCell ref="U1656:V1656"/>
    <mergeCell ref="I1610:R1610"/>
    <mergeCell ref="U1615:V1615"/>
    <mergeCell ref="U1779:V1779"/>
    <mergeCell ref="K1733:N1733"/>
    <mergeCell ref="O1733:P1733"/>
    <mergeCell ref="K1569:N1569"/>
    <mergeCell ref="O1569:P1569"/>
    <mergeCell ref="I1691:R1691"/>
    <mergeCell ref="K1692:N1692"/>
    <mergeCell ref="O1692:P1692"/>
    <mergeCell ref="K1611:N1611"/>
    <mergeCell ref="O1611:P1611"/>
    <mergeCell ref="U1737:V1737"/>
    <mergeCell ref="U1696:V1696"/>
    <mergeCell ref="I1732:R1732"/>
    <mergeCell ref="I1774:R1774"/>
    <mergeCell ref="K1775:N1775"/>
    <mergeCell ref="O1775:P1775"/>
    <mergeCell ref="O1490:P1490"/>
    <mergeCell ref="U1494:V1494"/>
    <mergeCell ref="I1568:R1568"/>
    <mergeCell ref="K1452:N1452"/>
    <mergeCell ref="O1452:P1452"/>
    <mergeCell ref="U1456:V1456"/>
    <mergeCell ref="I1527:R1527"/>
    <mergeCell ref="K1528:N1528"/>
    <mergeCell ref="O1528:P1528"/>
    <mergeCell ref="I1489:R1489"/>
    <mergeCell ref="K1490:N1490"/>
    <mergeCell ref="U1532:V1532"/>
    <mergeCell ref="B44:E44"/>
    <mergeCell ref="D586:E586"/>
    <mergeCell ref="D585:E585"/>
    <mergeCell ref="I1120:P1120"/>
    <mergeCell ref="K1177:N1177"/>
    <mergeCell ref="O1177:P1177"/>
    <mergeCell ref="I1176:R1176"/>
    <mergeCell ref="M1146:N1146"/>
    <mergeCell ref="I1145:P1145"/>
    <mergeCell ref="M1121:N1121"/>
    <mergeCell ref="D132:F132"/>
    <mergeCell ref="I1238:R1238"/>
    <mergeCell ref="K1239:N1239"/>
    <mergeCell ref="O1239:P1239"/>
    <mergeCell ref="I1339:R1339"/>
    <mergeCell ref="I1207:R1207"/>
    <mergeCell ref="K1208:N1208"/>
    <mergeCell ref="O1208:P1208"/>
    <mergeCell ref="I1270:R1270"/>
    <mergeCell ref="K1271:N1271"/>
    <mergeCell ref="O1271:P1271"/>
    <mergeCell ref="I1304:R1304"/>
    <mergeCell ref="K1305:N1305"/>
    <mergeCell ref="O1305:P1305"/>
    <mergeCell ref="U1275:V1275"/>
    <mergeCell ref="I1375:R1375"/>
    <mergeCell ref="K1376:N1376"/>
    <mergeCell ref="O1376:P1376"/>
    <mergeCell ref="U1380:V1380"/>
    <mergeCell ref="U1309:V1309"/>
    <mergeCell ref="K1340:N1340"/>
    <mergeCell ref="O1340:P1340"/>
    <mergeCell ref="U1344:V1344"/>
    <mergeCell ref="I1413:R1413"/>
    <mergeCell ref="K1414:N1414"/>
    <mergeCell ref="O1414:P1414"/>
    <mergeCell ref="U1418:V1418"/>
    <mergeCell ref="I1451:R1451"/>
    <mergeCell ref="I1817:R1817"/>
    <mergeCell ref="K1818:N1818"/>
    <mergeCell ref="O1818:P1818"/>
    <mergeCell ref="K1904:N1904"/>
    <mergeCell ref="O1904:P1904"/>
    <mergeCell ref="I1951:I1952"/>
    <mergeCell ref="T1904:U1904"/>
    <mergeCell ref="U1822:V1822"/>
    <mergeCell ref="I1860:R1860"/>
    <mergeCell ref="K1861:N1861"/>
    <mergeCell ref="O1861:P1861"/>
    <mergeCell ref="U1865:V1865"/>
    <mergeCell ref="I1903:R1903"/>
    <mergeCell ref="L1951:N1951"/>
  </mergeCells>
  <phoneticPr fontId="230" type="noConversion"/>
  <conditionalFormatting sqref="R1179:R1205 R1210:R1236 R1241:R1268 K1205:R1205 R1273:R1302 R1307:R1337 R1342:R1373 R1378:R1409 R1416:R1447 R1571:R1605 R1454:R1485 R1492:R1523 R1530:R1563 R1613:R1647 R1654:R1688 R1694:R1728 R1735:R1769 R1777:R1813 R1820:R1856 R1863:R1899 R1906:R1943">
    <cfRule type="cellIs" dxfId="15" priority="22" operator="lessThanOrEqual">
      <formula>0</formula>
    </cfRule>
  </conditionalFormatting>
  <hyperlinks>
    <hyperlink ref="N1952" r:id="rId1" display="https://www.bibliacatolica.com.br/biblia-latinoamericana/carta-a-los-romanos/?utm_source=bibliacatolica&amp;utm_medium=share_text&amp;utm_campaign=copy_and_paste"/>
    <hyperlink ref="N1954" r:id="rId2" display="https://www.bibliacatolica.com.br/biblia-latinoamericana/carta-a-los-romanos/?utm_source=share&amp;utm_medium=cp"/>
  </hyperlinks>
  <printOptions horizontalCentered="1"/>
  <pageMargins left="0" right="0" top="1.3385826771653544" bottom="0.78740157480314965" header="0" footer="0"/>
  <pageSetup paperSize="9" scale="70" orientation="portrait" r:id="rId3"/>
  <headerFooter alignWithMargins="0"/>
  <ignoredErrors>
    <ignoredError sqref="M1382 N1824 N1822:N1823 N1825:N1830 N1866:N1868 N1870:N1872" formula="1"/>
  </ignoredErrors>
</worksheet>
</file>

<file path=xl/worksheets/sheet11.xml><?xml version="1.0" encoding="utf-8"?>
<worksheet xmlns="http://schemas.openxmlformats.org/spreadsheetml/2006/main" xmlns:r="http://schemas.openxmlformats.org/officeDocument/2006/relationships">
  <sheetPr codeName="Hoja10"/>
  <dimension ref="A1:AT281"/>
  <sheetViews>
    <sheetView topLeftCell="A742" zoomScale="85" zoomScaleNormal="85" workbookViewId="0">
      <selection activeCell="A748" sqref="A748"/>
    </sheetView>
  </sheetViews>
  <sheetFormatPr baseColWidth="10" defaultRowHeight="14.25"/>
  <cols>
    <col min="1" max="1" width="1" customWidth="1"/>
    <col min="2" max="2" width="5.7109375" style="2" customWidth="1"/>
    <col min="3" max="3" width="11.7109375" style="1" customWidth="1"/>
    <col min="4" max="4" width="11.7109375" style="504" customWidth="1"/>
    <col min="5" max="5" width="11.7109375" style="4" customWidth="1"/>
    <col min="6" max="6" width="12.7109375" customWidth="1"/>
    <col min="7" max="7" width="0.85546875" customWidth="1"/>
    <col min="8" max="8" width="5.7109375" customWidth="1"/>
    <col min="9" max="9" width="11.7109375" style="14" customWidth="1"/>
    <col min="10" max="10" width="11.7109375" style="12" customWidth="1"/>
    <col min="11" max="11" width="11.7109375" customWidth="1"/>
    <col min="12" max="12" width="12.7109375" customWidth="1"/>
    <col min="13" max="13" width="0.85546875" customWidth="1"/>
    <col min="14" max="14" width="9.5703125" style="8" customWidth="1"/>
    <col min="15" max="15" width="4.5703125" style="1200" bestFit="1" customWidth="1"/>
    <col min="16" max="16" width="19.7109375" style="8" customWidth="1"/>
    <col min="17" max="17" width="4.7109375" style="8" customWidth="1"/>
    <col min="18" max="18" width="9.7109375" style="13" customWidth="1"/>
    <col min="19" max="19" width="12.85546875" customWidth="1"/>
    <col min="20" max="20" width="2.7109375" customWidth="1"/>
    <col min="21" max="21" width="10.7109375" customWidth="1"/>
    <col min="22" max="22" width="12.85546875" customWidth="1"/>
    <col min="23" max="23" width="7.7109375" customWidth="1"/>
    <col min="24" max="24" width="8" bestFit="1" customWidth="1"/>
    <col min="25" max="25" width="8.42578125" style="1357" bestFit="1" customWidth="1"/>
    <col min="26" max="26" width="3.42578125" style="1357" customWidth="1"/>
    <col min="27" max="27" width="11.42578125" style="74" bestFit="1"/>
    <col min="28" max="28" width="39.7109375" bestFit="1" customWidth="1"/>
    <col min="29" max="29" width="13.28515625" style="907" bestFit="1" customWidth="1"/>
    <col min="30" max="30" width="4.85546875" style="907" bestFit="1" customWidth="1"/>
    <col min="31" max="31" width="5.5703125" style="2007" bestFit="1" customWidth="1"/>
    <col min="32" max="32" width="12.85546875" style="8" bestFit="1" customWidth="1"/>
    <col min="33" max="33" width="35.7109375" customWidth="1"/>
    <col min="37" max="37" width="10.28515625" style="8" customWidth="1"/>
    <col min="38" max="38" width="4.28515625" style="8" customWidth="1"/>
    <col min="39" max="39" width="13.140625" customWidth="1"/>
    <col min="40" max="40" width="6.140625" style="8" customWidth="1"/>
    <col min="41" max="41" width="15.140625" style="73" customWidth="1"/>
    <col min="42" max="42" width="14" customWidth="1"/>
    <col min="43" max="43" width="9.28515625" bestFit="1" customWidth="1"/>
  </cols>
  <sheetData>
    <row r="1" spans="1:46" s="96" customFormat="1" ht="20.25" customHeight="1" thickBot="1">
      <c r="A1" s="1445">
        <f ca="1">TODAY()</f>
        <v>43895</v>
      </c>
      <c r="B1" s="3883">
        <f ca="1">+A1</f>
        <v>43895</v>
      </c>
      <c r="C1" s="3883"/>
      <c r="D1" s="3883"/>
      <c r="E1" s="3883"/>
      <c r="F1" s="3883"/>
      <c r="G1" s="3883"/>
      <c r="H1" s="3883"/>
      <c r="I1" s="3883"/>
      <c r="J1" s="3883"/>
      <c r="K1" s="3883"/>
      <c r="L1" s="3883"/>
      <c r="M1" s="3883"/>
      <c r="N1" s="3883"/>
      <c r="O1" s="3883"/>
      <c r="P1" s="3883"/>
      <c r="Q1" s="3883"/>
      <c r="R1" s="3883"/>
      <c r="S1" s="3883"/>
      <c r="T1" s="3883"/>
      <c r="U1" s="3883"/>
      <c r="V1" s="3883"/>
      <c r="Y1" s="1446"/>
      <c r="Z1" s="1446"/>
      <c r="AA1" s="1404"/>
      <c r="AC1" s="1447"/>
      <c r="AD1" s="1447"/>
      <c r="AE1" s="1998"/>
      <c r="AF1" s="97"/>
      <c r="AK1" s="97"/>
      <c r="AL1" s="97"/>
      <c r="AN1" s="97"/>
      <c r="AO1" s="1448"/>
    </row>
    <row r="2" spans="1:46" ht="20.25" customHeight="1" thickBot="1">
      <c r="A2" s="131"/>
      <c r="B2" s="925" t="s">
        <v>3590</v>
      </c>
      <c r="C2" s="926" t="s">
        <v>3591</v>
      </c>
      <c r="D2" s="927" t="s">
        <v>2269</v>
      </c>
      <c r="E2" s="1795" t="s">
        <v>288</v>
      </c>
      <c r="F2" s="928" t="s">
        <v>1381</v>
      </c>
      <c r="G2" s="6"/>
      <c r="H2" s="925" t="s">
        <v>3590</v>
      </c>
      <c r="I2" s="926" t="s">
        <v>3591</v>
      </c>
      <c r="J2" s="927" t="s">
        <v>2269</v>
      </c>
      <c r="K2" s="1795" t="s">
        <v>288</v>
      </c>
      <c r="L2" s="928" t="s">
        <v>1381</v>
      </c>
      <c r="N2" s="925" t="s">
        <v>3591</v>
      </c>
      <c r="O2" s="1201" t="s">
        <v>2343</v>
      </c>
      <c r="P2" s="1296" t="s">
        <v>2269</v>
      </c>
      <c r="Q2" s="1301" t="s">
        <v>1509</v>
      </c>
      <c r="R2" s="1295" t="s">
        <v>288</v>
      </c>
      <c r="S2" s="1481" t="s">
        <v>1291</v>
      </c>
      <c r="T2" s="1293" t="s">
        <v>2640</v>
      </c>
      <c r="U2" s="1480" t="s">
        <v>2435</v>
      </c>
      <c r="V2" s="1294" t="s">
        <v>1381</v>
      </c>
      <c r="W2" s="1794" t="s">
        <v>4148</v>
      </c>
      <c r="X2" s="1227"/>
      <c r="Y2" s="1358" t="s">
        <v>205</v>
      </c>
      <c r="Z2" s="1379" t="s">
        <v>589</v>
      </c>
      <c r="AA2" s="1399" t="s">
        <v>27</v>
      </c>
      <c r="AB2" s="1359" t="s">
        <v>3634</v>
      </c>
      <c r="AC2" s="1360" t="s">
        <v>2398</v>
      </c>
      <c r="AD2" s="1360" t="s">
        <v>4593</v>
      </c>
      <c r="AE2" s="1999" t="s">
        <v>1584</v>
      </c>
      <c r="AF2" s="1383" t="s">
        <v>1958</v>
      </c>
      <c r="AG2" s="1361" t="s">
        <v>756</v>
      </c>
    </row>
    <row r="3" spans="1:46" ht="15.75">
      <c r="B3" s="923">
        <v>101</v>
      </c>
      <c r="C3" s="952" t="s">
        <v>2270</v>
      </c>
      <c r="D3" s="823" t="s">
        <v>3181</v>
      </c>
      <c r="E3" s="924">
        <v>41459</v>
      </c>
      <c r="F3" s="1214" t="str">
        <f t="shared" ref="F3:F26" ca="1" si="0">IF(E3&lt;$A$1,"VENCIDO",E3-$A$1)</f>
        <v>VENCIDO</v>
      </c>
      <c r="G3" s="3"/>
      <c r="H3" s="1770">
        <v>151</v>
      </c>
      <c r="I3" s="1774" t="s">
        <v>815</v>
      </c>
      <c r="J3" s="1772" t="s">
        <v>3181</v>
      </c>
      <c r="K3" s="1773">
        <v>41094</v>
      </c>
      <c r="L3" s="1218" t="str">
        <f t="shared" ref="L3:L24" ca="1" si="1">IF(K3&lt;$A$1,"VENCIDO",K3-$A$1)</f>
        <v>VENCIDO</v>
      </c>
      <c r="N3" s="1254" t="s">
        <v>612</v>
      </c>
      <c r="O3" s="1212" t="s">
        <v>3763</v>
      </c>
      <c r="P3" s="1297" t="s">
        <v>3932</v>
      </c>
      <c r="Q3" s="1302" t="s">
        <v>569</v>
      </c>
      <c r="R3" s="1285">
        <v>41493</v>
      </c>
      <c r="S3" s="1305" t="str">
        <f ca="1">IF(R3&lt;$A$1,"VENCIDO",R3-$A$1)</f>
        <v>VENCIDO</v>
      </c>
      <c r="T3" s="1287">
        <v>0</v>
      </c>
      <c r="U3" s="1288">
        <v>41060</v>
      </c>
      <c r="V3" s="1289" t="str">
        <f t="shared" ref="V3:V15" ca="1" si="2">IF(U3&lt;$A$1,"VENCIDO",U3-$A$1)</f>
        <v>VENCIDO</v>
      </c>
      <c r="W3" s="1211">
        <v>2004</v>
      </c>
      <c r="X3" s="916"/>
      <c r="Y3" s="1371" t="str">
        <f t="shared" ref="Y3:Y23" ca="1" si="3">IF(AND(MONTH($B$1)=MONTH(AC3),DAY($B$1)=DAY(AC3)),1, " ")</f>
        <v xml:space="preserve"> </v>
      </c>
      <c r="Z3" s="1380">
        <v>1</v>
      </c>
      <c r="AA3" s="1400" t="s">
        <v>204</v>
      </c>
      <c r="AB3" s="1370" t="s">
        <v>1966</v>
      </c>
      <c r="AC3" s="2026">
        <v>15741</v>
      </c>
      <c r="AD3" s="1796">
        <f t="shared" ref="AD3:AD10" si="4">MONTH(AC3)</f>
        <v>2</v>
      </c>
      <c r="AE3" s="2000">
        <f t="shared" ref="AE3:AE10" ca="1" si="5">IF(MONTH(TODAY())&lt;MONTH(AC3),YEAR(TODAY())-YEAR(AC3)-1,IF(MONTH(TODAY())=MONTH(AC3),IF(DAY(TODAY())&lt;DAY(AC3),YEAR(TODAY())-YEAR(AC3),YEAR(TODAY())-YEAR(AC3)-1),YEAR(TODAY())-YEAR(AC3)))</f>
        <v>77</v>
      </c>
      <c r="AF3" s="1384">
        <v>34187</v>
      </c>
      <c r="AG3" s="1372" t="s">
        <v>3545</v>
      </c>
      <c r="AH3" s="1230"/>
    </row>
    <row r="4" spans="1:46" ht="15.75">
      <c r="B4" s="1264">
        <v>102</v>
      </c>
      <c r="C4" s="1610" t="s">
        <v>3700</v>
      </c>
      <c r="D4" s="1266" t="s">
        <v>3181</v>
      </c>
      <c r="E4" s="1267">
        <v>39630</v>
      </c>
      <c r="F4" s="1611" t="str">
        <f t="shared" ca="1" si="0"/>
        <v>VENCIDO</v>
      </c>
      <c r="G4" s="3"/>
      <c r="H4" s="918">
        <v>152</v>
      </c>
      <c r="I4" s="913" t="s">
        <v>816</v>
      </c>
      <c r="J4" s="87" t="s">
        <v>3181</v>
      </c>
      <c r="K4" s="86">
        <v>41651</v>
      </c>
      <c r="L4" s="1216" t="str">
        <f t="shared" ca="1" si="1"/>
        <v>VENCIDO</v>
      </c>
      <c r="N4" s="1255" t="s">
        <v>2313</v>
      </c>
      <c r="O4" s="1256" t="s">
        <v>1775</v>
      </c>
      <c r="P4" s="1298" t="s">
        <v>1857</v>
      </c>
      <c r="Q4" s="1303" t="s">
        <v>1775</v>
      </c>
      <c r="R4" s="1286">
        <v>41537</v>
      </c>
      <c r="S4" s="1306" t="str">
        <f t="shared" ref="S4:S29" ca="1" si="6">IF(R4&lt;$A$1,"VENCIDO",R4-$A$1)</f>
        <v>VENCIDO</v>
      </c>
      <c r="T4" s="1290">
        <v>1</v>
      </c>
      <c r="U4" s="1291">
        <v>41544</v>
      </c>
      <c r="V4" s="1292" t="str">
        <f t="shared" ca="1" si="2"/>
        <v>VENCIDO</v>
      </c>
      <c r="W4" s="1087">
        <v>2000</v>
      </c>
      <c r="X4" s="916"/>
      <c r="Y4" s="1371" t="str">
        <f t="shared" ca="1" si="3"/>
        <v xml:space="preserve"> </v>
      </c>
      <c r="Z4" s="1380">
        <v>2</v>
      </c>
      <c r="AA4" s="1400" t="s">
        <v>1487</v>
      </c>
      <c r="AB4" s="1370" t="s">
        <v>2326</v>
      </c>
      <c r="AC4" s="2026">
        <v>17938</v>
      </c>
      <c r="AD4" s="1796">
        <f t="shared" si="4"/>
        <v>2</v>
      </c>
      <c r="AE4" s="2000">
        <f t="shared" ca="1" si="5"/>
        <v>71</v>
      </c>
      <c r="AF4" s="1384">
        <v>40603</v>
      </c>
      <c r="AG4" s="1372" t="s">
        <v>5046</v>
      </c>
      <c r="AH4" s="1230"/>
    </row>
    <row r="5" spans="1:46" ht="15.75">
      <c r="B5" s="1264">
        <v>103</v>
      </c>
      <c r="C5" s="1610" t="s">
        <v>3701</v>
      </c>
      <c r="D5" s="1266" t="s">
        <v>3181</v>
      </c>
      <c r="E5" s="1267"/>
      <c r="F5" s="1611" t="str">
        <f t="shared" ca="1" si="0"/>
        <v>VENCIDO</v>
      </c>
      <c r="G5" s="3"/>
      <c r="H5" s="917">
        <v>153</v>
      </c>
      <c r="I5" s="951" t="s">
        <v>2837</v>
      </c>
      <c r="J5" s="10" t="s">
        <v>3181</v>
      </c>
      <c r="K5" s="5">
        <v>41459</v>
      </c>
      <c r="L5" s="1219" t="str">
        <f t="shared" ca="1" si="1"/>
        <v>VENCIDO</v>
      </c>
      <c r="N5" s="1255" t="s">
        <v>1979</v>
      </c>
      <c r="O5" s="1256" t="s">
        <v>1775</v>
      </c>
      <c r="P5" s="1298" t="s">
        <v>3100</v>
      </c>
      <c r="Q5" s="1303" t="s">
        <v>1775</v>
      </c>
      <c r="R5" s="1286">
        <v>41288</v>
      </c>
      <c r="S5" s="1306" t="str">
        <f t="shared" ca="1" si="6"/>
        <v>VENCIDO</v>
      </c>
      <c r="T5" s="1290">
        <v>3</v>
      </c>
      <c r="U5" s="1291">
        <v>41419</v>
      </c>
      <c r="V5" s="1292" t="str">
        <f t="shared" ca="1" si="2"/>
        <v>VENCIDO</v>
      </c>
      <c r="W5" s="1085">
        <v>1993</v>
      </c>
      <c r="X5" s="1228"/>
      <c r="Y5" s="1371" t="str">
        <f t="shared" ca="1" si="3"/>
        <v xml:space="preserve"> </v>
      </c>
      <c r="Z5" s="1380">
        <v>3</v>
      </c>
      <c r="AA5" s="1400" t="s">
        <v>297</v>
      </c>
      <c r="AB5" s="1370" t="s">
        <v>4233</v>
      </c>
      <c r="AC5" s="2026">
        <v>12138</v>
      </c>
      <c r="AD5" s="1796">
        <f t="shared" si="4"/>
        <v>3</v>
      </c>
      <c r="AE5" s="2000">
        <f t="shared" ca="1" si="5"/>
        <v>87</v>
      </c>
      <c r="AF5" s="1384">
        <v>34060</v>
      </c>
      <c r="AG5" s="1372" t="s">
        <v>4670</v>
      </c>
      <c r="AH5" s="1231"/>
    </row>
    <row r="6" spans="1:46" ht="15.75">
      <c r="B6" s="1264">
        <v>104</v>
      </c>
      <c r="C6" s="1610" t="s">
        <v>671</v>
      </c>
      <c r="D6" s="1266" t="s">
        <v>3181</v>
      </c>
      <c r="E6" s="1267"/>
      <c r="F6" s="1611" t="str">
        <f t="shared" ca="1" si="0"/>
        <v>VENCIDO</v>
      </c>
      <c r="G6" s="3"/>
      <c r="H6" s="917">
        <v>154</v>
      </c>
      <c r="I6" s="951" t="s">
        <v>1555</v>
      </c>
      <c r="J6" s="10" t="s">
        <v>3181</v>
      </c>
      <c r="K6" s="5">
        <v>41459</v>
      </c>
      <c r="L6" s="1219" t="str">
        <f t="shared" ca="1" si="1"/>
        <v>VENCIDO</v>
      </c>
      <c r="N6" s="1424" t="s">
        <v>3343</v>
      </c>
      <c r="O6" s="1425" t="s">
        <v>1508</v>
      </c>
      <c r="P6" s="1299" t="s">
        <v>3931</v>
      </c>
      <c r="Q6" s="1303" t="s">
        <v>1776</v>
      </c>
      <c r="R6" s="1286">
        <v>41537</v>
      </c>
      <c r="S6" s="1306" t="str">
        <f ca="1">IF(R6&lt;$A$1,"VENCIDO",R6-$A$1)</f>
        <v>VENCIDO</v>
      </c>
      <c r="T6" s="1290">
        <v>3</v>
      </c>
      <c r="U6" s="1291">
        <v>41420</v>
      </c>
      <c r="V6" s="1292" t="str">
        <f ca="1">IF(U6&lt;$A$1,"VENCIDO",U6-$A$1)</f>
        <v>VENCIDO</v>
      </c>
      <c r="W6" s="1085">
        <v>1991</v>
      </c>
      <c r="X6" s="1228"/>
      <c r="Y6" s="1371" t="str">
        <f t="shared" ca="1" si="3"/>
        <v xml:space="preserve"> </v>
      </c>
      <c r="Z6" s="1380">
        <v>4</v>
      </c>
      <c r="AA6" s="1400" t="s">
        <v>618</v>
      </c>
      <c r="AB6" s="1370" t="s">
        <v>3517</v>
      </c>
      <c r="AC6" s="2026">
        <v>17977</v>
      </c>
      <c r="AD6" s="1796">
        <f t="shared" si="4"/>
        <v>3</v>
      </c>
      <c r="AE6" s="2000">
        <f ca="1">IF(MONTH(TODAY())&lt;MONTH(AC6),YEAR(TODAY())-YEAR(AC6)-1,IF(MONTH(TODAY())=MONTH(AC6),IF(DAY(TODAY())&lt;DAY(AC6),YEAR(TODAY())-YEAR(AC6),YEAR(TODAY())-YEAR(AC6)-1),YEAR(TODAY())-YEAR(AC6)))</f>
        <v>71</v>
      </c>
      <c r="AF6" s="1384">
        <v>25464</v>
      </c>
      <c r="AG6" s="1372" t="s">
        <v>1486</v>
      </c>
      <c r="AH6" s="1230"/>
      <c r="AJ6" t="s">
        <v>4788</v>
      </c>
    </row>
    <row r="7" spans="1:46" ht="15.75">
      <c r="B7" s="917">
        <v>105</v>
      </c>
      <c r="C7" s="951" t="s">
        <v>672</v>
      </c>
      <c r="D7" s="10" t="s">
        <v>3181</v>
      </c>
      <c r="E7" s="5">
        <v>41459</v>
      </c>
      <c r="F7" s="1215" t="str">
        <f t="shared" ca="1" si="0"/>
        <v>VENCIDO</v>
      </c>
      <c r="G7" s="3"/>
      <c r="H7" s="917">
        <v>155</v>
      </c>
      <c r="I7" s="951" t="s">
        <v>129</v>
      </c>
      <c r="J7" s="10" t="s">
        <v>3181</v>
      </c>
      <c r="K7" s="86">
        <v>41572</v>
      </c>
      <c r="L7" s="1216" t="str">
        <f t="shared" ca="1" si="1"/>
        <v>VENCIDO</v>
      </c>
      <c r="N7" s="1257" t="s">
        <v>1650</v>
      </c>
      <c r="O7" s="1258" t="s">
        <v>3764</v>
      </c>
      <c r="P7" s="1300" t="s">
        <v>2641</v>
      </c>
      <c r="Q7" s="1304" t="s">
        <v>569</v>
      </c>
      <c r="R7" s="1286">
        <v>41592</v>
      </c>
      <c r="S7" s="1306" t="str">
        <f t="shared" ca="1" si="6"/>
        <v>VENCIDO</v>
      </c>
      <c r="T7" s="1290">
        <v>3</v>
      </c>
      <c r="U7" s="1291">
        <v>41597</v>
      </c>
      <c r="V7" s="1292" t="str">
        <f t="shared" ca="1" si="2"/>
        <v>VENCIDO</v>
      </c>
      <c r="W7" s="1086">
        <v>1983</v>
      </c>
      <c r="X7" s="1228"/>
      <c r="Y7" s="1371" t="str">
        <f t="shared" ca="1" si="3"/>
        <v xml:space="preserve"> </v>
      </c>
      <c r="Z7" s="1380">
        <v>5</v>
      </c>
      <c r="AA7" s="1400" t="s">
        <v>4397</v>
      </c>
      <c r="AB7" s="1370" t="s">
        <v>1420</v>
      </c>
      <c r="AC7" s="2026">
        <v>30877</v>
      </c>
      <c r="AD7" s="1796">
        <f t="shared" si="4"/>
        <v>7</v>
      </c>
      <c r="AE7" s="2000">
        <f t="shared" ca="1" si="5"/>
        <v>35</v>
      </c>
      <c r="AF7" s="1384">
        <v>38394</v>
      </c>
      <c r="AG7" s="1372" t="s">
        <v>1421</v>
      </c>
      <c r="AH7" s="1230"/>
      <c r="AJ7" t="s">
        <v>4147</v>
      </c>
    </row>
    <row r="8" spans="1:46" ht="15.75">
      <c r="B8" s="1769">
        <v>106</v>
      </c>
      <c r="C8" s="1775" t="s">
        <v>3798</v>
      </c>
      <c r="D8" s="1263" t="s">
        <v>3181</v>
      </c>
      <c r="E8" s="1771">
        <v>41094</v>
      </c>
      <c r="F8" s="1215" t="str">
        <f t="shared" ca="1" si="0"/>
        <v>VENCIDO</v>
      </c>
      <c r="G8" s="3"/>
      <c r="H8" s="917">
        <v>156</v>
      </c>
      <c r="I8" s="951" t="s">
        <v>130</v>
      </c>
      <c r="J8" s="10" t="s">
        <v>3181</v>
      </c>
      <c r="K8" s="5">
        <v>41459</v>
      </c>
      <c r="L8" s="1219" t="str">
        <f t="shared" ca="1" si="1"/>
        <v>VENCIDO</v>
      </c>
      <c r="N8" s="1255" t="s">
        <v>3252</v>
      </c>
      <c r="O8" s="1213" t="s">
        <v>3762</v>
      </c>
      <c r="P8" s="1298" t="s">
        <v>2642</v>
      </c>
      <c r="Q8" s="1303" t="s">
        <v>569</v>
      </c>
      <c r="R8" s="1286">
        <v>41653</v>
      </c>
      <c r="S8" s="1306" t="str">
        <f t="shared" ca="1" si="6"/>
        <v>VENCIDO</v>
      </c>
      <c r="T8" s="1290">
        <v>4</v>
      </c>
      <c r="U8" s="1291">
        <v>41459</v>
      </c>
      <c r="V8" s="1292" t="str">
        <f t="shared" ca="1" si="2"/>
        <v>VENCIDO</v>
      </c>
      <c r="W8" s="1085">
        <v>1997</v>
      </c>
      <c r="X8" s="1228"/>
      <c r="Y8" s="1371" t="str">
        <f t="shared" ca="1" si="3"/>
        <v xml:space="preserve"> </v>
      </c>
      <c r="Z8" s="1380">
        <v>6</v>
      </c>
      <c r="AA8" s="1400" t="s">
        <v>852</v>
      </c>
      <c r="AB8" s="1370" t="s">
        <v>2958</v>
      </c>
      <c r="AC8" s="2026">
        <v>15212</v>
      </c>
      <c r="AD8" s="1796">
        <f t="shared" si="4"/>
        <v>8</v>
      </c>
      <c r="AE8" s="2000">
        <f t="shared" ca="1" si="5"/>
        <v>78</v>
      </c>
      <c r="AF8" s="1384">
        <v>34366</v>
      </c>
      <c r="AG8" s="1372" t="s">
        <v>979</v>
      </c>
      <c r="AH8" s="1231"/>
      <c r="AJ8" s="8" t="s">
        <v>1444</v>
      </c>
      <c r="AK8" s="73" t="s">
        <v>1550</v>
      </c>
      <c r="AO8" s="1676" t="s">
        <v>1018</v>
      </c>
      <c r="AP8" s="140"/>
      <c r="AQ8" s="518"/>
      <c r="AR8" s="140"/>
      <c r="AS8" s="1677"/>
      <c r="AT8" s="141"/>
    </row>
    <row r="9" spans="1:46" ht="15.75">
      <c r="B9" s="1264">
        <v>107</v>
      </c>
      <c r="C9" s="1610" t="s">
        <v>3799</v>
      </c>
      <c r="D9" s="1266" t="s">
        <v>3181</v>
      </c>
      <c r="E9" s="1267"/>
      <c r="F9" s="1611" t="str">
        <f t="shared" ca="1" si="0"/>
        <v>VENCIDO</v>
      </c>
      <c r="G9" s="3"/>
      <c r="H9" s="1769">
        <v>157</v>
      </c>
      <c r="I9" s="1262" t="s">
        <v>131</v>
      </c>
      <c r="J9" s="1263" t="s">
        <v>3181</v>
      </c>
      <c r="K9" s="1771">
        <v>41094</v>
      </c>
      <c r="L9" s="1219" t="str">
        <f t="shared" ca="1" si="1"/>
        <v>VENCIDO</v>
      </c>
      <c r="N9" s="1682" t="s">
        <v>1978</v>
      </c>
      <c r="O9" s="1683" t="s">
        <v>1775</v>
      </c>
      <c r="P9" s="1684" t="s">
        <v>1035</v>
      </c>
      <c r="Q9" s="1685" t="s">
        <v>1775</v>
      </c>
      <c r="R9" s="1686" t="s">
        <v>1853</v>
      </c>
      <c r="S9" s="1864" t="e">
        <f t="shared" ca="1" si="6"/>
        <v>#VALUE!</v>
      </c>
      <c r="T9" s="1687">
        <v>4</v>
      </c>
      <c r="U9" s="1686">
        <v>41092</v>
      </c>
      <c r="V9" s="1693" t="str">
        <f t="shared" ca="1" si="2"/>
        <v>VENCIDO</v>
      </c>
      <c r="W9" s="1688">
        <v>1995</v>
      </c>
      <c r="X9" s="1016"/>
      <c r="Y9" s="1371" t="str">
        <f t="shared" ca="1" si="3"/>
        <v xml:space="preserve"> </v>
      </c>
      <c r="Z9" s="1380">
        <v>7</v>
      </c>
      <c r="AA9" s="1400" t="s">
        <v>1422</v>
      </c>
      <c r="AB9" s="1370" t="s">
        <v>3058</v>
      </c>
      <c r="AC9" s="2026">
        <v>32397</v>
      </c>
      <c r="AD9" s="1796">
        <f t="shared" si="4"/>
        <v>9</v>
      </c>
      <c r="AE9" s="2000">
        <f t="shared" ca="1" si="5"/>
        <v>31</v>
      </c>
      <c r="AF9" s="1384">
        <v>40493</v>
      </c>
      <c r="AG9" s="1372" t="s">
        <v>1423</v>
      </c>
      <c r="AH9" s="1231"/>
      <c r="AJ9" s="8" t="s">
        <v>4204</v>
      </c>
      <c r="AK9" s="73" t="s">
        <v>1549</v>
      </c>
      <c r="AO9" s="1678" t="s">
        <v>4703</v>
      </c>
      <c r="AP9" s="75"/>
      <c r="AQ9" s="93"/>
      <c r="AR9" s="75"/>
      <c r="AS9" s="1450"/>
      <c r="AT9" s="143"/>
    </row>
    <row r="10" spans="1:46" ht="15">
      <c r="B10" s="1769">
        <v>108</v>
      </c>
      <c r="C10" s="1775" t="s">
        <v>3800</v>
      </c>
      <c r="D10" s="1263" t="s">
        <v>3181</v>
      </c>
      <c r="E10" s="1771">
        <v>40725</v>
      </c>
      <c r="F10" s="1215" t="str">
        <f t="shared" ca="1" si="0"/>
        <v>VENCIDO</v>
      </c>
      <c r="G10" s="3"/>
      <c r="H10" s="1769">
        <v>158</v>
      </c>
      <c r="I10" s="1262" t="s">
        <v>132</v>
      </c>
      <c r="J10" s="1263" t="s">
        <v>3181</v>
      </c>
      <c r="K10" s="1771">
        <v>41094</v>
      </c>
      <c r="L10" s="1219" t="str">
        <f t="shared" ca="1" si="1"/>
        <v>VENCIDO</v>
      </c>
      <c r="N10" s="1819" t="s">
        <v>3686</v>
      </c>
      <c r="O10" s="1820" t="s">
        <v>1775</v>
      </c>
      <c r="P10" s="1821" t="s">
        <v>3687</v>
      </c>
      <c r="Q10" s="1822" t="s">
        <v>1775</v>
      </c>
      <c r="R10" s="1837">
        <v>41312</v>
      </c>
      <c r="S10" s="1865" t="str">
        <f t="shared" ca="1" si="6"/>
        <v>VENCIDO</v>
      </c>
      <c r="T10" s="1823">
        <v>5</v>
      </c>
      <c r="U10" s="1686">
        <v>40790</v>
      </c>
      <c r="V10" s="1693" t="str">
        <f t="shared" ca="1" si="2"/>
        <v>VENCIDO</v>
      </c>
      <c r="W10" s="1824">
        <v>2007</v>
      </c>
      <c r="X10" s="1354"/>
      <c r="Y10" s="1371" t="str">
        <f t="shared" ca="1" si="3"/>
        <v xml:space="preserve"> </v>
      </c>
      <c r="Z10" s="1380">
        <v>8</v>
      </c>
      <c r="AA10" s="1400" t="s">
        <v>3665</v>
      </c>
      <c r="AB10" s="1370" t="s">
        <v>5605</v>
      </c>
      <c r="AC10" s="2026">
        <v>19692</v>
      </c>
      <c r="AD10" s="1796">
        <f t="shared" si="4"/>
        <v>11</v>
      </c>
      <c r="AE10" s="2000">
        <f t="shared" ca="1" si="5"/>
        <v>66</v>
      </c>
      <c r="AF10" s="1384">
        <v>38971</v>
      </c>
      <c r="AG10" s="1372" t="s">
        <v>298</v>
      </c>
      <c r="AH10" s="1230"/>
      <c r="AJ10" s="8" t="s">
        <v>1878</v>
      </c>
      <c r="AK10" s="73" t="s">
        <v>1548</v>
      </c>
      <c r="AO10" s="1678" t="s">
        <v>4745</v>
      </c>
      <c r="AP10" s="75"/>
      <c r="AQ10" s="93"/>
      <c r="AR10" s="75"/>
      <c r="AS10" s="1450"/>
      <c r="AT10" s="143"/>
    </row>
    <row r="11" spans="1:46" ht="15.75">
      <c r="B11" s="1261">
        <v>109</v>
      </c>
      <c r="C11" s="1262" t="s">
        <v>4372</v>
      </c>
      <c r="D11" s="1263" t="s">
        <v>3181</v>
      </c>
      <c r="E11" s="1771">
        <v>40275</v>
      </c>
      <c r="F11" s="1611" t="str">
        <f t="shared" ca="1" si="0"/>
        <v>VENCIDO</v>
      </c>
      <c r="G11" s="3"/>
      <c r="H11" s="918">
        <v>159</v>
      </c>
      <c r="I11" s="913" t="s">
        <v>1115</v>
      </c>
      <c r="J11" s="87" t="s">
        <v>3181</v>
      </c>
      <c r="K11" s="86">
        <v>41585</v>
      </c>
      <c r="L11" s="1216" t="str">
        <f t="shared" ca="1" si="1"/>
        <v>VENCIDO</v>
      </c>
      <c r="N11" s="1255" t="s">
        <v>2314</v>
      </c>
      <c r="O11" s="1256" t="s">
        <v>1775</v>
      </c>
      <c r="P11" s="1298" t="s">
        <v>2643</v>
      </c>
      <c r="Q11" s="1303" t="s">
        <v>1775</v>
      </c>
      <c r="R11" s="1286">
        <v>41551</v>
      </c>
      <c r="S11" s="1306" t="str">
        <f t="shared" ca="1" si="6"/>
        <v>VENCIDO</v>
      </c>
      <c r="T11" s="1290">
        <v>5</v>
      </c>
      <c r="U11" s="1291">
        <v>41493</v>
      </c>
      <c r="V11" s="1292" t="str">
        <f t="shared" ca="1" si="2"/>
        <v>VENCIDO</v>
      </c>
      <c r="W11" s="1085">
        <v>2004</v>
      </c>
      <c r="X11" s="1354"/>
      <c r="Y11" s="1371" t="str">
        <f t="shared" ca="1" si="3"/>
        <v xml:space="preserve"> </v>
      </c>
      <c r="Z11" s="3200">
        <v>9</v>
      </c>
      <c r="AA11" s="3201" t="s">
        <v>2235</v>
      </c>
      <c r="AB11" s="3202" t="s">
        <v>3949</v>
      </c>
      <c r="AC11" s="3203">
        <v>32866</v>
      </c>
      <c r="AD11" s="3204">
        <f t="shared" ref="AD11:AD19" si="7">MONTH(AC11)</f>
        <v>12</v>
      </c>
      <c r="AE11" s="3205">
        <f t="shared" ref="AE11:AE19" ca="1" si="8">IF(MONTH(TODAY())&lt;MONTH(AC11),YEAR(TODAY())-YEAR(AC11)-1,IF(MONTH(TODAY())=MONTH(AC11),IF(DAY(TODAY())&lt;DAY(AC11),YEAR(TODAY())-YEAR(AC11),YEAR(TODAY())-YEAR(AC11)-1),YEAR(TODAY())-YEAR(AC11)))</f>
        <v>30</v>
      </c>
      <c r="AF11" s="3206">
        <v>41277</v>
      </c>
      <c r="AG11" s="2017" t="s">
        <v>1309</v>
      </c>
      <c r="AH11" s="1230"/>
      <c r="AJ11" s="3199"/>
      <c r="AK11" s="73"/>
      <c r="AL11" s="3199"/>
      <c r="AN11" s="3199"/>
      <c r="AO11" s="1679"/>
      <c r="AP11" s="887" t="s">
        <v>893</v>
      </c>
      <c r="AQ11" s="93"/>
      <c r="AR11" s="75"/>
      <c r="AS11" s="1450"/>
      <c r="AT11" s="143"/>
    </row>
    <row r="12" spans="1:46" ht="15.75">
      <c r="B12" s="1264">
        <v>110</v>
      </c>
      <c r="C12" s="1610" t="s">
        <v>4373</v>
      </c>
      <c r="D12" s="1266" t="s">
        <v>3181</v>
      </c>
      <c r="E12" s="1267"/>
      <c r="F12" s="1611" t="str">
        <f t="shared" ca="1" si="0"/>
        <v>VENCIDO</v>
      </c>
      <c r="G12" s="3"/>
      <c r="H12" s="917">
        <v>160</v>
      </c>
      <c r="I12" s="951" t="s">
        <v>1116</v>
      </c>
      <c r="J12" s="10" t="s">
        <v>3181</v>
      </c>
      <c r="K12" s="5">
        <v>41459</v>
      </c>
      <c r="L12" s="1219" t="str">
        <f t="shared" ca="1" si="1"/>
        <v>VENCIDO</v>
      </c>
      <c r="N12" s="1255" t="s">
        <v>788</v>
      </c>
      <c r="O12" s="1213" t="s">
        <v>3761</v>
      </c>
      <c r="P12" s="1298" t="s">
        <v>665</v>
      </c>
      <c r="Q12" s="1303" t="s">
        <v>569</v>
      </c>
      <c r="R12" s="1286">
        <v>41585</v>
      </c>
      <c r="S12" s="1306" t="str">
        <f t="shared" ca="1" si="6"/>
        <v>VENCIDO</v>
      </c>
      <c r="T12" s="1290">
        <v>8</v>
      </c>
      <c r="U12" s="1291">
        <v>40848</v>
      </c>
      <c r="V12" s="1292" t="str">
        <f t="shared" ca="1" si="2"/>
        <v>VENCIDO</v>
      </c>
      <c r="W12" s="1084">
        <v>2008</v>
      </c>
      <c r="X12" s="1354"/>
      <c r="Y12" s="1371" t="str">
        <f t="shared" ca="1" si="3"/>
        <v xml:space="preserve"> </v>
      </c>
      <c r="Z12" s="3200"/>
      <c r="AA12" s="3201" t="s">
        <v>5452</v>
      </c>
      <c r="AB12" s="3202" t="s">
        <v>5453</v>
      </c>
      <c r="AC12" s="3203">
        <v>28093</v>
      </c>
      <c r="AD12" s="3204">
        <f t="shared" si="7"/>
        <v>11</v>
      </c>
      <c r="AE12" s="3205">
        <f t="shared" ca="1" si="8"/>
        <v>43</v>
      </c>
      <c r="AF12" s="3206">
        <v>43112</v>
      </c>
      <c r="AG12" s="2017" t="s">
        <v>5867</v>
      </c>
      <c r="AH12" s="1230"/>
      <c r="AJ12" s="3199"/>
      <c r="AK12" s="73"/>
      <c r="AL12" s="3199"/>
      <c r="AN12" s="3199"/>
      <c r="AO12" s="1679"/>
      <c r="AP12" s="75" t="s">
        <v>3622</v>
      </c>
      <c r="AQ12" s="93"/>
      <c r="AR12" s="75"/>
      <c r="AS12" s="1450"/>
      <c r="AT12" s="143"/>
    </row>
    <row r="13" spans="1:46" ht="15.75">
      <c r="B13" s="917">
        <v>111</v>
      </c>
      <c r="C13" s="951" t="s">
        <v>4926</v>
      </c>
      <c r="D13" s="10" t="s">
        <v>3181</v>
      </c>
      <c r="E13" s="5">
        <v>41605</v>
      </c>
      <c r="F13" s="1215" t="str">
        <f t="shared" ca="1" si="0"/>
        <v>VENCIDO</v>
      </c>
      <c r="G13" s="3"/>
      <c r="H13" s="917">
        <v>161</v>
      </c>
      <c r="I13" s="951" t="s">
        <v>1117</v>
      </c>
      <c r="J13" s="10" t="s">
        <v>3181</v>
      </c>
      <c r="K13" s="5">
        <v>41459</v>
      </c>
      <c r="L13" s="1219" t="str">
        <f t="shared" ca="1" si="1"/>
        <v>VENCIDO</v>
      </c>
      <c r="N13" s="1255" t="s">
        <v>2255</v>
      </c>
      <c r="O13" s="1213" t="s">
        <v>3761</v>
      </c>
      <c r="P13" s="1298" t="s">
        <v>1034</v>
      </c>
      <c r="Q13" s="1303" t="s">
        <v>569</v>
      </c>
      <c r="R13" s="1286">
        <v>41701</v>
      </c>
      <c r="S13" s="1306" t="str">
        <f t="shared" ca="1" si="6"/>
        <v>VENCIDO</v>
      </c>
      <c r="T13" s="1290">
        <v>8</v>
      </c>
      <c r="U13" s="1291">
        <v>41627</v>
      </c>
      <c r="V13" s="1292" t="str">
        <f t="shared" ca="1" si="2"/>
        <v>VENCIDO</v>
      </c>
      <c r="W13" s="1085">
        <v>2003</v>
      </c>
      <c r="X13" s="1354"/>
      <c r="Y13" s="1371" t="str">
        <f t="shared" ca="1" si="3"/>
        <v xml:space="preserve"> </v>
      </c>
      <c r="Z13" s="3200"/>
      <c r="AA13" s="3201" t="s">
        <v>5454</v>
      </c>
      <c r="AB13" s="3202" t="s">
        <v>5455</v>
      </c>
      <c r="AC13" s="3203">
        <v>33732</v>
      </c>
      <c r="AD13" s="3204">
        <f t="shared" si="7"/>
        <v>5</v>
      </c>
      <c r="AE13" s="3205">
        <f t="shared" ca="1" si="8"/>
        <v>27</v>
      </c>
      <c r="AF13" s="3206">
        <v>43180</v>
      </c>
      <c r="AG13" s="2017" t="s">
        <v>5867</v>
      </c>
      <c r="AH13" s="1230"/>
      <c r="AJ13" s="3199"/>
      <c r="AK13" s="73"/>
      <c r="AL13" s="3199"/>
      <c r="AN13" s="3199"/>
      <c r="AO13" s="1679"/>
      <c r="AP13" s="887" t="s">
        <v>1386</v>
      </c>
      <c r="AQ13" s="93"/>
      <c r="AR13" s="75"/>
      <c r="AS13" s="1450"/>
      <c r="AT13" s="143"/>
    </row>
    <row r="14" spans="1:46" ht="15.75">
      <c r="B14" s="1264">
        <v>112</v>
      </c>
      <c r="C14" s="1610" t="s">
        <v>4927</v>
      </c>
      <c r="D14" s="1266" t="s">
        <v>3181</v>
      </c>
      <c r="E14" s="1267"/>
      <c r="F14" s="1611" t="str">
        <f t="shared" ca="1" si="0"/>
        <v>VENCIDO</v>
      </c>
      <c r="G14" s="3"/>
      <c r="H14" s="917">
        <v>162</v>
      </c>
      <c r="I14" s="951" t="s">
        <v>4654</v>
      </c>
      <c r="J14" s="10" t="s">
        <v>3181</v>
      </c>
      <c r="K14" s="5">
        <v>41459</v>
      </c>
      <c r="L14" s="1219" t="str">
        <f t="shared" ca="1" si="1"/>
        <v>VENCIDO</v>
      </c>
      <c r="N14" s="1255" t="s">
        <v>1576</v>
      </c>
      <c r="O14" s="1213" t="s">
        <v>569</v>
      </c>
      <c r="P14" s="1298" t="s">
        <v>2963</v>
      </c>
      <c r="Q14" s="1303" t="s">
        <v>1775</v>
      </c>
      <c r="R14" s="1286">
        <v>41572</v>
      </c>
      <c r="S14" s="1306" t="str">
        <f t="shared" ca="1" si="6"/>
        <v>VENCIDO</v>
      </c>
      <c r="T14" s="1290">
        <v>8</v>
      </c>
      <c r="U14" s="1291">
        <v>41459</v>
      </c>
      <c r="V14" s="1292" t="str">
        <f t="shared" ca="1" si="2"/>
        <v>VENCIDO</v>
      </c>
      <c r="W14" s="1240">
        <v>1980</v>
      </c>
      <c r="X14" s="1354"/>
      <c r="Y14" s="1371" t="str">
        <f t="shared" ca="1" si="3"/>
        <v xml:space="preserve"> </v>
      </c>
      <c r="Z14" s="3200"/>
      <c r="AA14" s="3201" t="s">
        <v>5456</v>
      </c>
      <c r="AB14" s="3202" t="s">
        <v>5457</v>
      </c>
      <c r="AC14" s="3203">
        <v>35655</v>
      </c>
      <c r="AD14" s="3204">
        <f t="shared" si="7"/>
        <v>8</v>
      </c>
      <c r="AE14" s="3205">
        <f t="shared" ca="1" si="8"/>
        <v>22</v>
      </c>
      <c r="AF14" s="3206">
        <v>43220</v>
      </c>
      <c r="AG14" s="2017" t="s">
        <v>5867</v>
      </c>
      <c r="AH14" s="1230"/>
      <c r="AJ14" s="3199"/>
      <c r="AK14" s="73"/>
      <c r="AL14" s="3199"/>
      <c r="AN14" s="3199"/>
      <c r="AO14" s="1679"/>
      <c r="AP14" s="75" t="s">
        <v>3020</v>
      </c>
      <c r="AQ14" s="93"/>
      <c r="AR14" s="75"/>
      <c r="AS14" s="1450"/>
      <c r="AT14" s="143"/>
    </row>
    <row r="15" spans="1:46" ht="16.5" thickBot="1">
      <c r="B15" s="1264">
        <v>113</v>
      </c>
      <c r="C15" s="1610" t="s">
        <v>4928</v>
      </c>
      <c r="D15" s="1266" t="s">
        <v>3181</v>
      </c>
      <c r="E15" s="1267"/>
      <c r="F15" s="1611" t="str">
        <f t="shared" ca="1" si="0"/>
        <v>VENCIDO</v>
      </c>
      <c r="G15" s="3"/>
      <c r="H15" s="917">
        <v>163</v>
      </c>
      <c r="I15" s="951" t="s">
        <v>4655</v>
      </c>
      <c r="J15" s="10" t="s">
        <v>3181</v>
      </c>
      <c r="K15" s="5">
        <v>41670</v>
      </c>
      <c r="L15" s="1219" t="str">
        <f t="shared" ca="1" si="1"/>
        <v>VENCIDO</v>
      </c>
      <c r="N15" s="1646" t="s">
        <v>1732</v>
      </c>
      <c r="O15" s="1647" t="s">
        <v>569</v>
      </c>
      <c r="P15" s="1648" t="s">
        <v>1679</v>
      </c>
      <c r="Q15" s="1649" t="s">
        <v>569</v>
      </c>
      <c r="R15" s="1650">
        <v>41653</v>
      </c>
      <c r="S15" s="1651" t="str">
        <f t="shared" ca="1" si="6"/>
        <v>VENCIDO</v>
      </c>
      <c r="T15" s="1636">
        <v>8</v>
      </c>
      <c r="U15" s="1637">
        <v>41630</v>
      </c>
      <c r="V15" s="1638" t="str">
        <f t="shared" ca="1" si="2"/>
        <v>VENCIDO</v>
      </c>
      <c r="W15" s="1639">
        <v>1967</v>
      </c>
      <c r="X15" s="1354"/>
      <c r="Y15" s="1371" t="str">
        <f t="shared" ca="1" si="3"/>
        <v xml:space="preserve"> </v>
      </c>
      <c r="Z15" s="3200"/>
      <c r="AA15" s="3201" t="s">
        <v>5458</v>
      </c>
      <c r="AB15" s="3202" t="s">
        <v>5459</v>
      </c>
      <c r="AC15" s="3203">
        <v>31765</v>
      </c>
      <c r="AD15" s="3204">
        <f t="shared" si="7"/>
        <v>12</v>
      </c>
      <c r="AE15" s="3205">
        <f t="shared" ca="1" si="8"/>
        <v>33</v>
      </c>
      <c r="AF15" s="3206">
        <v>43255</v>
      </c>
      <c r="AG15" s="2017" t="s">
        <v>5868</v>
      </c>
      <c r="AH15" s="1230"/>
      <c r="AJ15" s="3199"/>
      <c r="AK15" s="73"/>
      <c r="AL15" s="3199"/>
      <c r="AN15" s="3199"/>
      <c r="AO15" s="1679"/>
      <c r="AP15" s="887" t="s">
        <v>1385</v>
      </c>
      <c r="AQ15" s="93"/>
      <c r="AR15" s="75"/>
      <c r="AS15" s="1450"/>
      <c r="AT15" s="143"/>
    </row>
    <row r="16" spans="1:46" ht="15.75">
      <c r="B16" s="917">
        <v>114</v>
      </c>
      <c r="C16" s="951" t="s">
        <v>1257</v>
      </c>
      <c r="D16" s="10" t="s">
        <v>3181</v>
      </c>
      <c r="E16" s="5">
        <v>41456</v>
      </c>
      <c r="F16" s="1215" t="str">
        <f t="shared" ca="1" si="0"/>
        <v>VENCIDO</v>
      </c>
      <c r="G16" s="3"/>
      <c r="H16" s="917">
        <v>164</v>
      </c>
      <c r="I16" s="951" t="s">
        <v>4656</v>
      </c>
      <c r="J16" s="10" t="s">
        <v>3181</v>
      </c>
      <c r="K16" s="5">
        <v>41459</v>
      </c>
      <c r="L16" s="1219" t="str">
        <f t="shared" ca="1" si="1"/>
        <v>VENCIDO</v>
      </c>
      <c r="N16" s="3892" t="s">
        <v>2714</v>
      </c>
      <c r="O16" s="3893"/>
      <c r="P16" s="3894"/>
      <c r="Q16" s="1627" t="s">
        <v>569</v>
      </c>
      <c r="R16" s="1628">
        <v>41640</v>
      </c>
      <c r="S16" s="1630" t="str">
        <f t="shared" ca="1" si="6"/>
        <v>VENCIDO</v>
      </c>
      <c r="T16" s="1652" t="s">
        <v>4888</v>
      </c>
      <c r="U16" s="1653"/>
      <c r="V16" s="1654"/>
      <c r="W16" s="1655"/>
      <c r="X16" s="1354"/>
      <c r="Y16" s="1371" t="str">
        <f t="shared" ca="1" si="3"/>
        <v xml:space="preserve"> </v>
      </c>
      <c r="Z16" s="3200"/>
      <c r="AA16" s="3201" t="s">
        <v>5865</v>
      </c>
      <c r="AB16" s="3202" t="s">
        <v>5866</v>
      </c>
      <c r="AC16" s="3203">
        <v>29207</v>
      </c>
      <c r="AD16" s="3204">
        <f t="shared" si="7"/>
        <v>12</v>
      </c>
      <c r="AE16" s="3205">
        <f t="shared" ca="1" si="8"/>
        <v>40</v>
      </c>
      <c r="AF16" s="3206">
        <v>43531</v>
      </c>
      <c r="AG16" s="2017" t="s">
        <v>5867</v>
      </c>
      <c r="AH16" s="1230"/>
      <c r="AJ16" s="3342"/>
      <c r="AK16" s="73"/>
      <c r="AL16" s="3342"/>
      <c r="AN16" s="3342"/>
      <c r="AO16" s="1680"/>
      <c r="AP16" s="80" t="s">
        <v>3621</v>
      </c>
      <c r="AQ16" s="204"/>
      <c r="AR16" s="80"/>
      <c r="AS16" s="1681"/>
      <c r="AT16" s="144"/>
    </row>
    <row r="17" spans="2:46" ht="15.95" customHeight="1">
      <c r="B17" s="1264">
        <v>115</v>
      </c>
      <c r="C17" s="1610" t="s">
        <v>1258</v>
      </c>
      <c r="D17" s="1266" t="s">
        <v>3181</v>
      </c>
      <c r="E17" s="1267"/>
      <c r="F17" s="1611" t="str">
        <f t="shared" ca="1" si="0"/>
        <v>VENCIDO</v>
      </c>
      <c r="G17" s="3"/>
      <c r="H17" s="917">
        <v>165</v>
      </c>
      <c r="I17" s="951" t="s">
        <v>4657</v>
      </c>
      <c r="J17" s="10" t="s">
        <v>3181</v>
      </c>
      <c r="K17" s="5">
        <v>41459</v>
      </c>
      <c r="L17" s="1219" t="str">
        <f t="shared" ca="1" si="1"/>
        <v>VENCIDO</v>
      </c>
      <c r="N17" s="1658" t="s">
        <v>936</v>
      </c>
      <c r="O17" s="1625"/>
      <c r="P17" s="1626"/>
      <c r="Q17" s="1659" t="s">
        <v>875</v>
      </c>
      <c r="R17" s="1252">
        <v>41640</v>
      </c>
      <c r="S17" s="1631" t="str">
        <f t="shared" ca="1" si="6"/>
        <v>VENCIDO</v>
      </c>
      <c r="T17" s="1644"/>
      <c r="U17" s="1640" t="s">
        <v>876</v>
      </c>
      <c r="V17" s="1640"/>
      <c r="W17" s="1656"/>
      <c r="X17" s="1354"/>
      <c r="Y17" s="1371" t="str">
        <f t="shared" ca="1" si="3"/>
        <v xml:space="preserve"> </v>
      </c>
      <c r="Z17" s="3200"/>
      <c r="AA17" s="3201" t="s">
        <v>5870</v>
      </c>
      <c r="AB17" s="3202" t="s">
        <v>5869</v>
      </c>
      <c r="AC17" s="3203">
        <v>35754</v>
      </c>
      <c r="AD17" s="3204">
        <f t="shared" si="7"/>
        <v>11</v>
      </c>
      <c r="AE17" s="3205">
        <f t="shared" ca="1" si="8"/>
        <v>22</v>
      </c>
      <c r="AF17" s="3206">
        <v>43531</v>
      </c>
      <c r="AG17" s="3476" t="s">
        <v>5871</v>
      </c>
      <c r="AH17" s="1230"/>
      <c r="AJ17" s="3474"/>
      <c r="AK17" s="73"/>
      <c r="AL17" s="3474"/>
      <c r="AN17" s="3474"/>
      <c r="AO17" s="3477"/>
      <c r="AP17" s="75"/>
      <c r="AQ17" s="3475"/>
      <c r="AR17" s="75"/>
      <c r="AS17" s="1450"/>
      <c r="AT17" s="75"/>
    </row>
    <row r="18" spans="2:46" ht="15.75">
      <c r="B18" s="918">
        <v>116</v>
      </c>
      <c r="C18" s="913" t="s">
        <v>1259</v>
      </c>
      <c r="D18" s="87" t="s">
        <v>3181</v>
      </c>
      <c r="E18" s="86">
        <v>41574</v>
      </c>
      <c r="F18" s="1217" t="str">
        <f t="shared" ca="1" si="0"/>
        <v>VENCIDO</v>
      </c>
      <c r="G18" s="3"/>
      <c r="H18" s="917">
        <v>166</v>
      </c>
      <c r="I18" s="951" t="s">
        <v>900</v>
      </c>
      <c r="J18" s="10" t="s">
        <v>3181</v>
      </c>
      <c r="K18" s="5">
        <v>41459</v>
      </c>
      <c r="L18" s="1219" t="str">
        <f t="shared" ca="1" si="1"/>
        <v>VENCIDO</v>
      </c>
      <c r="N18" s="3886" t="s">
        <v>3005</v>
      </c>
      <c r="O18" s="3887"/>
      <c r="P18" s="3888"/>
      <c r="Q18" s="1235" t="s">
        <v>1775</v>
      </c>
      <c r="R18" s="1629">
        <v>41337</v>
      </c>
      <c r="S18" s="1632" t="str">
        <f t="shared" ca="1" si="6"/>
        <v>VENCIDO</v>
      </c>
      <c r="T18" s="1644"/>
      <c r="U18" s="1640" t="s">
        <v>2614</v>
      </c>
      <c r="V18" s="1640"/>
      <c r="W18" s="1656"/>
      <c r="X18" s="1354"/>
      <c r="Y18" s="1371" t="str">
        <f t="shared" ca="1" si="3"/>
        <v xml:space="preserve"> </v>
      </c>
      <c r="Z18" s="3200"/>
      <c r="AA18" s="3201" t="s">
        <v>5872</v>
      </c>
      <c r="AB18" s="3202" t="s">
        <v>5873</v>
      </c>
      <c r="AC18" s="3203">
        <v>33890</v>
      </c>
      <c r="AD18" s="3204">
        <f t="shared" si="7"/>
        <v>10</v>
      </c>
      <c r="AE18" s="3205">
        <f t="shared" ca="1" si="8"/>
        <v>27</v>
      </c>
      <c r="AF18" s="3206">
        <v>43647</v>
      </c>
      <c r="AG18" s="2017" t="s">
        <v>5874</v>
      </c>
      <c r="AH18" s="1230"/>
      <c r="AJ18" s="3474"/>
      <c r="AK18" s="73"/>
      <c r="AL18" s="3474"/>
      <c r="AN18" s="3474"/>
      <c r="AO18" s="3477"/>
      <c r="AP18" s="75"/>
      <c r="AQ18" s="3475"/>
      <c r="AR18" s="75"/>
      <c r="AS18" s="1450"/>
      <c r="AT18" s="75"/>
    </row>
    <row r="19" spans="2:46" ht="16.5">
      <c r="B19" s="1264">
        <v>117</v>
      </c>
      <c r="C19" s="1610" t="s">
        <v>2133</v>
      </c>
      <c r="D19" s="1266" t="s">
        <v>3181</v>
      </c>
      <c r="E19" s="1267"/>
      <c r="F19" s="1611" t="str">
        <f t="shared" ca="1" si="0"/>
        <v>VENCIDO</v>
      </c>
      <c r="G19" s="3"/>
      <c r="H19" s="917">
        <v>167</v>
      </c>
      <c r="I19" s="951" t="s">
        <v>901</v>
      </c>
      <c r="J19" s="10" t="s">
        <v>3181</v>
      </c>
      <c r="K19" s="5">
        <v>41459</v>
      </c>
      <c r="L19" s="1219" t="str">
        <f t="shared" ca="1" si="1"/>
        <v>VENCIDO</v>
      </c>
      <c r="N19" s="3889" t="s">
        <v>1946</v>
      </c>
      <c r="O19" s="3890"/>
      <c r="P19" s="3891"/>
      <c r="Q19" s="1235" t="s">
        <v>1775</v>
      </c>
      <c r="R19" s="1629">
        <v>41353</v>
      </c>
      <c r="S19" s="1631" t="str">
        <f t="shared" ca="1" si="6"/>
        <v>VENCIDO</v>
      </c>
      <c r="T19" s="1645"/>
      <c r="U19" s="1641" t="s">
        <v>1945</v>
      </c>
      <c r="V19" s="1640"/>
      <c r="W19" s="1656"/>
      <c r="X19" s="1354"/>
      <c r="Y19" s="1371" t="str">
        <f t="shared" ca="1" si="3"/>
        <v xml:space="preserve"> </v>
      </c>
      <c r="Z19" s="3200"/>
      <c r="AA19" s="3201" t="s">
        <v>5875</v>
      </c>
      <c r="AB19" s="3202" t="s">
        <v>5876</v>
      </c>
      <c r="AC19" s="3203">
        <v>34253</v>
      </c>
      <c r="AD19" s="3204">
        <f t="shared" si="7"/>
        <v>10</v>
      </c>
      <c r="AE19" s="3205">
        <f t="shared" ca="1" si="8"/>
        <v>26</v>
      </c>
      <c r="AF19" s="3206">
        <v>43647</v>
      </c>
      <c r="AG19" s="2017" t="s">
        <v>5877</v>
      </c>
      <c r="AH19" s="1230"/>
      <c r="AJ19" s="3474"/>
      <c r="AK19" s="73"/>
      <c r="AL19" s="3474"/>
      <c r="AN19" s="3474"/>
      <c r="AO19" s="3477"/>
      <c r="AP19" s="75"/>
      <c r="AQ19" s="3475"/>
      <c r="AR19" s="75"/>
      <c r="AS19" s="1450"/>
      <c r="AT19" s="75"/>
    </row>
    <row r="20" spans="2:46" ht="17.25" customHeight="1">
      <c r="B20" s="1264">
        <v>118</v>
      </c>
      <c r="C20" s="1610" t="s">
        <v>4889</v>
      </c>
      <c r="D20" s="1266" t="s">
        <v>3181</v>
      </c>
      <c r="E20" s="1267"/>
      <c r="F20" s="1611" t="str">
        <f t="shared" ca="1" si="0"/>
        <v>VENCIDO</v>
      </c>
      <c r="G20" s="3"/>
      <c r="H20" s="1271">
        <v>168</v>
      </c>
      <c r="I20" s="1272" t="s">
        <v>902</v>
      </c>
      <c r="J20" s="1273" t="s">
        <v>3181</v>
      </c>
      <c r="K20" s="1274"/>
      <c r="L20" s="1220" t="str">
        <f t="shared" ca="1" si="1"/>
        <v>VENCIDO</v>
      </c>
      <c r="N20" s="3884" t="s">
        <v>2344</v>
      </c>
      <c r="O20" s="3876"/>
      <c r="P20" s="3885"/>
      <c r="Q20" s="1196" t="s">
        <v>1775</v>
      </c>
      <c r="R20" s="1252">
        <v>40826</v>
      </c>
      <c r="S20" s="1633" t="str">
        <f t="shared" ca="1" si="6"/>
        <v>VENCIDO</v>
      </c>
      <c r="T20" s="1645"/>
      <c r="U20" s="1642" t="s">
        <v>4006</v>
      </c>
      <c r="V20" s="1640"/>
      <c r="W20" s="1656"/>
      <c r="X20" s="1354"/>
      <c r="Y20" s="1371"/>
      <c r="Z20" s="3200"/>
      <c r="AA20" s="3201"/>
      <c r="AB20" s="3202"/>
      <c r="AC20" s="3203"/>
      <c r="AD20" s="3204"/>
      <c r="AE20" s="3205"/>
      <c r="AF20" s="3206"/>
      <c r="AG20" s="3476"/>
      <c r="AH20" s="1230"/>
      <c r="AJ20" s="3474"/>
      <c r="AK20" s="73"/>
      <c r="AL20" s="3474"/>
      <c r="AN20" s="3474"/>
      <c r="AO20" s="3477"/>
      <c r="AP20" s="75"/>
      <c r="AQ20" s="3475"/>
      <c r="AR20" s="75"/>
      <c r="AS20" s="1450"/>
      <c r="AT20" s="75"/>
    </row>
    <row r="21" spans="2:46" ht="16.5">
      <c r="B21" s="917">
        <v>119</v>
      </c>
      <c r="C21" s="951" t="s">
        <v>4890</v>
      </c>
      <c r="D21" s="10" t="s">
        <v>3181</v>
      </c>
      <c r="E21" s="5">
        <v>41459</v>
      </c>
      <c r="F21" s="1215" t="str">
        <f t="shared" ca="1" si="0"/>
        <v>VENCIDO</v>
      </c>
      <c r="G21" s="3"/>
      <c r="H21" s="917">
        <v>169</v>
      </c>
      <c r="I21" s="951" t="s">
        <v>903</v>
      </c>
      <c r="J21" s="10" t="s">
        <v>3181</v>
      </c>
      <c r="K21" s="5">
        <v>41459</v>
      </c>
      <c r="L21" s="1219" t="str">
        <f t="shared" ca="1" si="1"/>
        <v>VENCIDO</v>
      </c>
      <c r="N21" s="3843" t="s">
        <v>598</v>
      </c>
      <c r="O21" s="3844"/>
      <c r="P21" s="3845"/>
      <c r="Q21" s="1197" t="s">
        <v>1775</v>
      </c>
      <c r="R21" s="1252">
        <v>41274</v>
      </c>
      <c r="S21" s="1633" t="str">
        <f t="shared" ca="1" si="6"/>
        <v>VENCIDO</v>
      </c>
      <c r="T21" s="1645"/>
      <c r="U21" s="1642" t="s">
        <v>4006</v>
      </c>
      <c r="V21" s="1640"/>
      <c r="W21" s="1656"/>
      <c r="X21" s="1354"/>
      <c r="Y21" s="1371"/>
      <c r="Z21" s="3200"/>
      <c r="AA21" s="3201"/>
      <c r="AB21" s="3202"/>
      <c r="AC21" s="3203"/>
      <c r="AD21" s="3204"/>
      <c r="AE21" s="3205"/>
      <c r="AF21" s="3206"/>
      <c r="AG21" s="3476"/>
      <c r="AH21" s="1230"/>
      <c r="AJ21" s="3474"/>
      <c r="AK21" s="73"/>
      <c r="AL21" s="3474"/>
      <c r="AN21" s="3474"/>
      <c r="AO21" s="3477"/>
      <c r="AP21" s="75"/>
      <c r="AQ21" s="3475"/>
      <c r="AR21" s="75"/>
      <c r="AS21" s="1450"/>
      <c r="AT21" s="75"/>
    </row>
    <row r="22" spans="2:46" ht="16.5">
      <c r="B22" s="1264">
        <v>120</v>
      </c>
      <c r="C22" s="1610" t="s">
        <v>4891</v>
      </c>
      <c r="D22" s="1266" t="s">
        <v>3181</v>
      </c>
      <c r="E22" s="1267"/>
      <c r="F22" s="1611" t="str">
        <f t="shared" ca="1" si="0"/>
        <v>VENCIDO</v>
      </c>
      <c r="G22" s="3"/>
      <c r="H22" s="917">
        <v>170</v>
      </c>
      <c r="I22" s="951" t="s">
        <v>904</v>
      </c>
      <c r="J22" s="10" t="s">
        <v>3181</v>
      </c>
      <c r="K22" s="5">
        <v>41459</v>
      </c>
      <c r="L22" s="1219" t="str">
        <f t="shared" ca="1" si="1"/>
        <v>VENCIDO</v>
      </c>
      <c r="N22" s="3866" t="s">
        <v>573</v>
      </c>
      <c r="O22" s="3867"/>
      <c r="P22" s="3868"/>
      <c r="Q22" s="1197" t="s">
        <v>1775</v>
      </c>
      <c r="R22" s="1252">
        <v>41348</v>
      </c>
      <c r="S22" s="1633" t="str">
        <f t="shared" ca="1" si="6"/>
        <v>VENCIDO</v>
      </c>
      <c r="T22" s="1645"/>
      <c r="U22" s="1643" t="s">
        <v>4006</v>
      </c>
      <c r="V22" s="1640"/>
      <c r="W22" s="1656"/>
      <c r="X22" s="1354"/>
      <c r="Y22" s="1371"/>
      <c r="Z22" s="3200"/>
      <c r="AA22" s="3201"/>
      <c r="AB22" s="3202"/>
      <c r="AC22" s="3203"/>
      <c r="AD22" s="3204"/>
      <c r="AE22" s="3205"/>
      <c r="AF22" s="3206"/>
      <c r="AG22" s="2017"/>
      <c r="AH22" s="1230"/>
      <c r="AJ22" s="3342"/>
      <c r="AK22" s="73"/>
      <c r="AL22" s="3342"/>
      <c r="AN22" s="3342"/>
    </row>
    <row r="23" spans="2:46" ht="17.25" thickBot="1">
      <c r="B23" s="1264">
        <v>121</v>
      </c>
      <c r="C23" s="1265" t="s">
        <v>4012</v>
      </c>
      <c r="D23" s="1266" t="s">
        <v>3181</v>
      </c>
      <c r="E23" s="1267">
        <v>39264</v>
      </c>
      <c r="F23" s="1611" t="str">
        <f t="shared" ca="1" si="0"/>
        <v>VENCIDO</v>
      </c>
      <c r="G23" s="3"/>
      <c r="H23" s="239"/>
      <c r="I23" s="914"/>
      <c r="J23" s="11"/>
      <c r="K23" s="7"/>
      <c r="L23" s="1221"/>
      <c r="N23" s="3866" t="s">
        <v>2985</v>
      </c>
      <c r="O23" s="3867"/>
      <c r="P23" s="3868"/>
      <c r="Q23" s="1197" t="s">
        <v>1775</v>
      </c>
      <c r="R23" s="1252">
        <v>41358</v>
      </c>
      <c r="S23" s="1633" t="str">
        <f t="shared" ca="1" si="6"/>
        <v>VENCIDO</v>
      </c>
      <c r="T23" s="1645"/>
      <c r="U23" s="1643" t="s">
        <v>4006</v>
      </c>
      <c r="V23" s="1640"/>
      <c r="W23" s="1656"/>
      <c r="X23" s="1016"/>
      <c r="Y23" s="1373" t="str">
        <f t="shared" ca="1" si="3"/>
        <v xml:space="preserve"> </v>
      </c>
      <c r="Z23" s="1382"/>
      <c r="AA23" s="1401"/>
      <c r="AB23" s="1374"/>
      <c r="AC23" s="2027"/>
      <c r="AD23" s="2001"/>
      <c r="AE23" s="2001"/>
      <c r="AF23" s="1385"/>
      <c r="AG23" s="1376"/>
      <c r="AH23" s="1230"/>
    </row>
    <row r="24" spans="2:46" ht="15.75">
      <c r="B24" s="917">
        <v>122</v>
      </c>
      <c r="C24" s="951" t="s">
        <v>1749</v>
      </c>
      <c r="D24" s="10" t="s">
        <v>3181</v>
      </c>
      <c r="E24" s="5">
        <v>41459</v>
      </c>
      <c r="F24" s="1215" t="str">
        <f t="shared" ca="1" si="0"/>
        <v>VENCIDO</v>
      </c>
      <c r="G24" s="3"/>
      <c r="H24" s="1268">
        <v>214</v>
      </c>
      <c r="I24" s="1269" t="s">
        <v>2660</v>
      </c>
      <c r="J24" s="1270" t="s">
        <v>3181</v>
      </c>
      <c r="K24" s="1274"/>
      <c r="L24" s="1220" t="str">
        <f t="shared" ca="1" si="1"/>
        <v>VENCIDO</v>
      </c>
      <c r="N24" s="3871" t="s">
        <v>2073</v>
      </c>
      <c r="O24" s="3872"/>
      <c r="P24" s="3873"/>
      <c r="Q24" s="1197" t="s">
        <v>1775</v>
      </c>
      <c r="R24" s="1252">
        <v>41320</v>
      </c>
      <c r="S24" s="1633" t="str">
        <f t="shared" ca="1" si="6"/>
        <v>VENCIDO</v>
      </c>
      <c r="T24" s="1645"/>
      <c r="U24" s="1643" t="s">
        <v>1427</v>
      </c>
      <c r="V24" s="1640"/>
      <c r="W24" s="1656"/>
      <c r="X24" s="1016"/>
      <c r="Y24" s="1362">
        <f ca="1">SUM(Y3:Y23)</f>
        <v>0</v>
      </c>
      <c r="Z24" s="1377"/>
      <c r="AA24" s="1398"/>
      <c r="AB24" s="1363"/>
      <c r="AC24" s="1367" t="s">
        <v>205</v>
      </c>
      <c r="AD24" s="1367"/>
      <c r="AE24" s="2002"/>
      <c r="AF24" s="1386"/>
      <c r="AG24" s="1364"/>
      <c r="AH24" s="1230"/>
    </row>
    <row r="25" spans="2:46" ht="16.5" thickBot="1">
      <c r="B25" s="917">
        <v>123</v>
      </c>
      <c r="C25" s="951" t="s">
        <v>813</v>
      </c>
      <c r="D25" s="10" t="s">
        <v>3181</v>
      </c>
      <c r="E25" s="5">
        <v>41459</v>
      </c>
      <c r="F25" s="1215" t="str">
        <f t="shared" ca="1" si="0"/>
        <v>VENCIDO</v>
      </c>
      <c r="G25" s="3"/>
      <c r="H25" s="239"/>
      <c r="I25" s="545" t="s">
        <v>2944</v>
      </c>
      <c r="J25" s="11"/>
      <c r="K25" s="7"/>
      <c r="L25" s="1221"/>
      <c r="N25" s="3874" t="s">
        <v>1375</v>
      </c>
      <c r="O25" s="3875"/>
      <c r="P25" s="3876"/>
      <c r="Q25" s="1198" t="s">
        <v>569</v>
      </c>
      <c r="R25" s="1253">
        <v>41676</v>
      </c>
      <c r="S25" s="1634" t="str">
        <f t="shared" ca="1" si="6"/>
        <v>VENCIDO</v>
      </c>
      <c r="T25" s="1645"/>
      <c r="U25" s="1643" t="s">
        <v>1428</v>
      </c>
      <c r="V25" s="1640"/>
      <c r="W25" s="1656"/>
      <c r="X25" s="1354"/>
      <c r="Y25" s="1365"/>
      <c r="Z25" s="1378"/>
      <c r="AA25" s="1402"/>
      <c r="AB25" s="1369" t="s">
        <v>222</v>
      </c>
      <c r="AC25" s="1381">
        <v>1</v>
      </c>
      <c r="AD25" s="1381"/>
      <c r="AE25" s="2003"/>
      <c r="AF25" s="1368" t="str">
        <f ca="1">IF(Y24=1,DGET(Y2:AG23,AB2,AC24:AC25),IF(Y24=0," ",CONCATENATE("Hay ",Y24," Cumpleaños")))</f>
        <v xml:space="preserve"> </v>
      </c>
      <c r="AG25" s="1366"/>
      <c r="AH25" s="1231"/>
      <c r="AI25" s="134" t="s">
        <v>603</v>
      </c>
      <c r="AJ25" s="429"/>
      <c r="AK25" s="1495"/>
      <c r="AL25" s="8" t="s">
        <v>205</v>
      </c>
    </row>
    <row r="26" spans="2:46" ht="16.5" thickBot="1">
      <c r="B26" s="921">
        <v>124</v>
      </c>
      <c r="C26" s="953" t="s">
        <v>814</v>
      </c>
      <c r="D26" s="851" t="s">
        <v>3181</v>
      </c>
      <c r="E26" s="922">
        <v>41537</v>
      </c>
      <c r="F26" s="1217" t="str">
        <f t="shared" ca="1" si="0"/>
        <v>VENCIDO</v>
      </c>
      <c r="G26" s="3"/>
      <c r="H26" s="242"/>
      <c r="I26" s="919"/>
      <c r="J26" s="920"/>
      <c r="K26" s="63"/>
      <c r="L26" s="1222"/>
      <c r="N26" s="3874" t="s">
        <v>1374</v>
      </c>
      <c r="O26" s="3875"/>
      <c r="P26" s="3876"/>
      <c r="Q26" s="1234" t="s">
        <v>569</v>
      </c>
      <c r="R26" s="1252">
        <v>41385</v>
      </c>
      <c r="S26" s="1633" t="str">
        <f t="shared" ca="1" si="6"/>
        <v>VENCIDO</v>
      </c>
      <c r="T26" s="1645"/>
      <c r="U26" s="1643" t="s">
        <v>1428</v>
      </c>
      <c r="V26" s="1640"/>
      <c r="W26" s="1656"/>
      <c r="X26" s="1228"/>
      <c r="Y26" s="1387"/>
      <c r="Z26" s="1387"/>
      <c r="AA26" s="1403"/>
      <c r="AB26" s="1388"/>
      <c r="AC26" s="1389"/>
      <c r="AD26" s="1389"/>
      <c r="AE26" s="2004"/>
      <c r="AF26" s="1390"/>
      <c r="AG26" s="1391"/>
      <c r="AH26" s="1230"/>
      <c r="AI26" s="1494" t="s">
        <v>3018</v>
      </c>
      <c r="AJ26" s="429"/>
      <c r="AK26" s="1495"/>
      <c r="AL26" s="8" t="s">
        <v>205</v>
      </c>
    </row>
    <row r="27" spans="2:46" ht="15.75">
      <c r="B27" s="641"/>
      <c r="C27" s="1476" t="s">
        <v>65</v>
      </c>
      <c r="D27" s="643"/>
      <c r="E27" s="644"/>
      <c r="F27" s="1224"/>
      <c r="G27" s="3"/>
      <c r="H27" s="75"/>
      <c r="I27" s="1477" t="s">
        <v>4643</v>
      </c>
      <c r="J27" s="647"/>
      <c r="K27" s="1477" t="s">
        <v>3226</v>
      </c>
      <c r="L27" s="1477"/>
      <c r="N27" s="3877" t="s">
        <v>4682</v>
      </c>
      <c r="O27" s="3878"/>
      <c r="P27" s="3879"/>
      <c r="Q27" s="1307" t="s">
        <v>1775</v>
      </c>
      <c r="R27" s="1308">
        <v>2597854</v>
      </c>
      <c r="S27" s="1634">
        <f t="shared" ca="1" si="6"/>
        <v>2553959</v>
      </c>
      <c r="T27" s="1645"/>
      <c r="U27" s="1643" t="s">
        <v>4681</v>
      </c>
      <c r="V27" s="1640"/>
      <c r="W27" s="1656"/>
      <c r="X27" s="916"/>
      <c r="Y27" s="1358" t="s">
        <v>205</v>
      </c>
      <c r="Z27" s="1379" t="s">
        <v>589</v>
      </c>
      <c r="AA27" s="1399" t="s">
        <v>27</v>
      </c>
      <c r="AB27" s="1359" t="s">
        <v>3634</v>
      </c>
      <c r="AC27" s="1360" t="s">
        <v>2398</v>
      </c>
      <c r="AD27" s="1360" t="s">
        <v>4593</v>
      </c>
      <c r="AE27" s="1999" t="s">
        <v>1584</v>
      </c>
      <c r="AF27" s="1383" t="s">
        <v>1958</v>
      </c>
      <c r="AG27" s="1361" t="s">
        <v>756</v>
      </c>
      <c r="AH27" s="1232"/>
      <c r="AI27" s="134" t="s">
        <v>2288</v>
      </c>
      <c r="AJ27" s="429"/>
      <c r="AK27" s="1495"/>
      <c r="AL27" s="8" t="s">
        <v>205</v>
      </c>
    </row>
    <row r="28" spans="2:46" ht="15.95" customHeight="1">
      <c r="B28" s="1478">
        <v>1</v>
      </c>
      <c r="C28" s="1471" t="s">
        <v>2665</v>
      </c>
      <c r="D28" s="1475" t="s">
        <v>2145</v>
      </c>
      <c r="E28" s="1471" t="s">
        <v>4129</v>
      </c>
      <c r="F28" s="1472" t="s">
        <v>3177</v>
      </c>
      <c r="H28" s="1478">
        <v>1</v>
      </c>
      <c r="I28" s="1474" t="s">
        <v>895</v>
      </c>
      <c r="J28" s="1485" t="s">
        <v>682</v>
      </c>
      <c r="K28" s="1484" t="s">
        <v>1675</v>
      </c>
      <c r="L28" s="12"/>
      <c r="N28" s="3871" t="s">
        <v>2647</v>
      </c>
      <c r="O28" s="3872"/>
      <c r="P28" s="3873"/>
      <c r="Q28" s="1234" t="s">
        <v>1775</v>
      </c>
      <c r="R28" s="1252">
        <v>41600</v>
      </c>
      <c r="S28" s="1634" t="str">
        <f t="shared" ca="1" si="6"/>
        <v>VENCIDO</v>
      </c>
      <c r="T28" s="1861"/>
      <c r="U28" s="1862" t="s">
        <v>2648</v>
      </c>
      <c r="V28" s="1860"/>
      <c r="W28" s="1859"/>
      <c r="X28" s="1228"/>
      <c r="Y28" s="1371" t="str">
        <f t="shared" ref="Y28:Y47" ca="1" si="9">IF(AND(MONTH($B$1)=MONTH(AC28),DAY($B$1)=DAY(AC28)),1, " ")</f>
        <v xml:space="preserve"> </v>
      </c>
      <c r="Z28" s="1380">
        <v>1</v>
      </c>
      <c r="AA28" s="1400" t="s">
        <v>4612</v>
      </c>
      <c r="AB28" s="1370" t="s">
        <v>747</v>
      </c>
      <c r="AC28" s="2026">
        <v>18675</v>
      </c>
      <c r="AD28" s="1796">
        <f t="shared" ref="AD28:AD47" si="10">MONTH(AC28)</f>
        <v>2</v>
      </c>
      <c r="AE28" s="2005">
        <f t="shared" ref="AE28:AE47" ca="1" si="11">IF(MONTH(TODAY())&lt;MONTH(AC28),YEAR(TODAY())-YEAR(AC28)-1,IF(MONTH(TODAY())=MONTH(AC28),IF(DAY(TODAY())&lt;DAY(AC28),YEAR(TODAY())-YEAR(AC28),YEAR(TODAY())-YEAR(AC28)-1),YEAR(TODAY())-YEAR(AC28)))</f>
        <v>69</v>
      </c>
      <c r="AF28" s="1384">
        <v>40057</v>
      </c>
      <c r="AG28" s="1372" t="s">
        <v>4611</v>
      </c>
      <c r="AH28" s="1230"/>
      <c r="AI28" s="134" t="s">
        <v>413</v>
      </c>
      <c r="AJ28" s="429"/>
      <c r="AK28" s="1495"/>
      <c r="AL28" s="8" t="s">
        <v>205</v>
      </c>
    </row>
    <row r="29" spans="2:46" ht="15.95" customHeight="1" thickBot="1">
      <c r="B29" s="1478">
        <v>2</v>
      </c>
      <c r="C29" s="1472" t="s">
        <v>4929</v>
      </c>
      <c r="D29" s="1471" t="s">
        <v>4675</v>
      </c>
      <c r="E29" s="1471" t="s">
        <v>961</v>
      </c>
      <c r="F29" s="1472" t="s">
        <v>3887</v>
      </c>
      <c r="H29" s="1478">
        <v>2</v>
      </c>
      <c r="I29" s="1474" t="s">
        <v>4388</v>
      </c>
      <c r="J29" s="1486" t="s">
        <v>3888</v>
      </c>
      <c r="K29" s="1519" t="s">
        <v>112</v>
      </c>
      <c r="L29" s="1521" t="s">
        <v>1791</v>
      </c>
      <c r="N29" s="3880" t="s">
        <v>3573</v>
      </c>
      <c r="O29" s="3881"/>
      <c r="P29" s="3881"/>
      <c r="Q29" s="3882"/>
      <c r="R29" s="1343">
        <v>41353</v>
      </c>
      <c r="S29" s="1635" t="str">
        <f t="shared" ca="1" si="6"/>
        <v>VENCIDO</v>
      </c>
      <c r="T29" s="3869" t="s">
        <v>744</v>
      </c>
      <c r="U29" s="3870"/>
      <c r="V29" s="3870"/>
      <c r="W29" s="1657"/>
      <c r="X29" s="1229"/>
      <c r="Y29" s="1371" t="str">
        <f t="shared" ca="1" si="9"/>
        <v xml:space="preserve"> </v>
      </c>
      <c r="Z29" s="1380">
        <v>2</v>
      </c>
      <c r="AA29" s="1400" t="s">
        <v>1678</v>
      </c>
      <c r="AB29" s="1370" t="s">
        <v>4396</v>
      </c>
      <c r="AC29" s="2026">
        <v>23435</v>
      </c>
      <c r="AD29" s="1796">
        <f t="shared" si="10"/>
        <v>2</v>
      </c>
      <c r="AE29" s="2005">
        <f t="shared" ca="1" si="11"/>
        <v>56</v>
      </c>
      <c r="AF29" s="1384">
        <v>39995</v>
      </c>
      <c r="AG29" s="1372" t="s">
        <v>5046</v>
      </c>
      <c r="AH29" s="1230"/>
      <c r="AI29" s="1494" t="s">
        <v>2558</v>
      </c>
      <c r="AJ29" s="429"/>
      <c r="AK29" s="1495"/>
      <c r="AL29" s="8" t="s">
        <v>205</v>
      </c>
    </row>
    <row r="30" spans="2:46" ht="18.75" thickBot="1">
      <c r="B30" s="1478">
        <v>3</v>
      </c>
      <c r="C30" s="1473" t="s">
        <v>962</v>
      </c>
      <c r="D30" s="795" t="s">
        <v>4485</v>
      </c>
      <c r="E30" s="1471" t="s">
        <v>963</v>
      </c>
      <c r="F30" s="1471" t="s">
        <v>1613</v>
      </c>
      <c r="H30" s="1478">
        <v>3</v>
      </c>
      <c r="I30" s="1474" t="s">
        <v>4389</v>
      </c>
      <c r="J30" s="1487" t="s">
        <v>4288</v>
      </c>
      <c r="K30" s="1519" t="s">
        <v>3293</v>
      </c>
      <c r="L30" s="1520" t="s">
        <v>1792</v>
      </c>
      <c r="M30" s="1081"/>
      <c r="N30" s="1694" t="s">
        <v>3584</v>
      </c>
      <c r="O30" s="1199"/>
      <c r="P30" s="1449"/>
      <c r="Q30" s="1450"/>
      <c r="R30" s="1444"/>
      <c r="S30" s="1444"/>
      <c r="T30" s="645"/>
      <c r="V30" s="1344"/>
      <c r="X30" s="1229"/>
      <c r="Y30" s="1371" t="str">
        <f t="shared" ca="1" si="9"/>
        <v xml:space="preserve"> </v>
      </c>
      <c r="Z30" s="1380">
        <v>3</v>
      </c>
      <c r="AA30" s="1400" t="s">
        <v>3680</v>
      </c>
      <c r="AB30" s="1370" t="s">
        <v>4573</v>
      </c>
      <c r="AC30" s="2026">
        <v>24520</v>
      </c>
      <c r="AD30" s="1796">
        <f t="shared" si="10"/>
        <v>2</v>
      </c>
      <c r="AE30" s="2005">
        <f t="shared" ca="1" si="11"/>
        <v>53</v>
      </c>
      <c r="AF30" s="1384">
        <v>39995</v>
      </c>
      <c r="AG30" s="1372" t="s">
        <v>106</v>
      </c>
      <c r="AH30" s="1230"/>
      <c r="AI30" s="1494" t="s">
        <v>823</v>
      </c>
      <c r="AJ30" s="429"/>
      <c r="AK30" s="1495"/>
      <c r="AL30" s="8" t="s">
        <v>205</v>
      </c>
    </row>
    <row r="31" spans="2:46" ht="18" thickTop="1" thickBot="1">
      <c r="B31" s="1478">
        <v>4</v>
      </c>
      <c r="C31" s="1492" t="s">
        <v>1614</v>
      </c>
      <c r="D31" s="1472" t="s">
        <v>165</v>
      </c>
      <c r="E31" s="1471" t="s">
        <v>1615</v>
      </c>
      <c r="F31" s="1471" t="s">
        <v>1616</v>
      </c>
      <c r="H31" s="1478">
        <v>4</v>
      </c>
      <c r="I31" s="1474" t="s">
        <v>3957</v>
      </c>
      <c r="J31" s="1485" t="s">
        <v>2297</v>
      </c>
      <c r="K31" s="1615" t="s">
        <v>2181</v>
      </c>
      <c r="L31" s="1616" t="s">
        <v>2402</v>
      </c>
      <c r="N31" s="3858" t="s">
        <v>2638</v>
      </c>
      <c r="O31" s="3859"/>
      <c r="P31" s="3859"/>
      <c r="Q31" s="3859"/>
      <c r="R31" s="3859"/>
      <c r="S31" s="3859"/>
      <c r="T31" s="3859"/>
      <c r="U31" s="3859"/>
      <c r="V31" s="3860"/>
      <c r="X31" s="1229"/>
      <c r="Y31" s="1371" t="str">
        <f t="shared" ca="1" si="9"/>
        <v xml:space="preserve"> </v>
      </c>
      <c r="Z31" s="1380">
        <v>4</v>
      </c>
      <c r="AA31" s="1400" t="s">
        <v>1990</v>
      </c>
      <c r="AB31" s="1370" t="s">
        <v>220</v>
      </c>
      <c r="AC31" s="2026">
        <v>29621</v>
      </c>
      <c r="AD31" s="1796">
        <f t="shared" si="10"/>
        <v>2</v>
      </c>
      <c r="AE31" s="2005">
        <f t="shared" ca="1" si="11"/>
        <v>39</v>
      </c>
      <c r="AF31" s="1384">
        <v>40057</v>
      </c>
      <c r="AG31" s="1372" t="s">
        <v>221</v>
      </c>
      <c r="AH31" s="1231"/>
      <c r="AI31" s="134" t="s">
        <v>2287</v>
      </c>
      <c r="AJ31" s="429"/>
      <c r="AK31" s="1495"/>
      <c r="AL31" s="8" t="s">
        <v>205</v>
      </c>
    </row>
    <row r="32" spans="2:46" ht="15.95" customHeight="1" thickTop="1" thickBot="1">
      <c r="B32" s="1478">
        <v>5</v>
      </c>
      <c r="C32" s="1623" t="s">
        <v>3080</v>
      </c>
      <c r="D32" s="1491" t="s">
        <v>3458</v>
      </c>
      <c r="E32" s="1472" t="s">
        <v>3176</v>
      </c>
      <c r="F32" s="1471" t="s">
        <v>3459</v>
      </c>
      <c r="H32" s="1478">
        <v>5</v>
      </c>
      <c r="I32" s="1474" t="s">
        <v>2144</v>
      </c>
      <c r="J32" s="3855" t="s">
        <v>4380</v>
      </c>
      <c r="K32" s="1615" t="s">
        <v>3860</v>
      </c>
      <c r="L32" s="1617" t="s">
        <v>3861</v>
      </c>
      <c r="M32" s="1081"/>
      <c r="N32" s="3895" t="str">
        <f ca="1">+AF49</f>
        <v xml:space="preserve"> </v>
      </c>
      <c r="O32" s="3895"/>
      <c r="P32" s="3895"/>
      <c r="Q32" s="3895"/>
      <c r="R32" s="3861" t="str">
        <f ca="1">+AF25</f>
        <v xml:space="preserve"> </v>
      </c>
      <c r="S32" s="3862"/>
      <c r="T32" s="3862"/>
      <c r="U32" s="3862"/>
      <c r="V32" s="3863"/>
      <c r="X32" s="1229"/>
      <c r="Y32" s="1371" t="str">
        <f t="shared" ca="1" si="9"/>
        <v xml:space="preserve"> </v>
      </c>
      <c r="Z32" s="1380">
        <v>5</v>
      </c>
      <c r="AA32" s="1400" t="s">
        <v>5044</v>
      </c>
      <c r="AB32" s="1370" t="s">
        <v>5045</v>
      </c>
      <c r="AC32" s="2026">
        <v>19079</v>
      </c>
      <c r="AD32" s="1796">
        <f t="shared" si="10"/>
        <v>3</v>
      </c>
      <c r="AE32" s="2005">
        <f t="shared" ca="1" si="11"/>
        <v>68</v>
      </c>
      <c r="AF32" s="1384">
        <v>39995</v>
      </c>
      <c r="AG32" s="1372" t="s">
        <v>5046</v>
      </c>
      <c r="AI32" s="1494" t="s">
        <v>4392</v>
      </c>
      <c r="AJ32" s="429"/>
      <c r="AK32" s="1495"/>
      <c r="AL32" s="8" t="s">
        <v>205</v>
      </c>
    </row>
    <row r="33" spans="2:38" ht="15.95" customHeight="1" thickTop="1">
      <c r="B33" s="1478">
        <v>6</v>
      </c>
      <c r="C33" s="1493" t="s">
        <v>3460</v>
      </c>
      <c r="D33" s="1471" t="s">
        <v>4102</v>
      </c>
      <c r="E33" s="1471" t="s">
        <v>4103</v>
      </c>
      <c r="F33" s="1488"/>
      <c r="H33" s="1478">
        <v>6</v>
      </c>
      <c r="I33" s="1474" t="s">
        <v>4390</v>
      </c>
      <c r="J33" s="3856"/>
      <c r="K33" s="1615" t="s">
        <v>780</v>
      </c>
      <c r="L33" s="1616" t="s">
        <v>1593</v>
      </c>
      <c r="M33" s="1081"/>
      <c r="N33" s="3896" t="str">
        <f ca="1">+AF80</f>
        <v xml:space="preserve"> </v>
      </c>
      <c r="O33" s="3896"/>
      <c r="P33" s="3896"/>
      <c r="Q33" s="3896"/>
      <c r="R33" s="3865" t="str">
        <f ca="1">+AF94</f>
        <v xml:space="preserve"> </v>
      </c>
      <c r="S33" s="3865"/>
      <c r="T33" s="3865"/>
      <c r="U33" s="3865"/>
      <c r="V33" s="3865"/>
      <c r="X33" s="1229"/>
      <c r="Y33" s="1371" t="str">
        <f t="shared" ca="1" si="9"/>
        <v xml:space="preserve"> </v>
      </c>
      <c r="Z33" s="1380">
        <v>6</v>
      </c>
      <c r="AA33" s="1400" t="s">
        <v>4366</v>
      </c>
      <c r="AB33" s="1370" t="s">
        <v>440</v>
      </c>
      <c r="AC33" s="2026">
        <v>26003</v>
      </c>
      <c r="AD33" s="1796">
        <f t="shared" si="10"/>
        <v>3</v>
      </c>
      <c r="AE33" s="2005">
        <f t="shared" ca="1" si="11"/>
        <v>49</v>
      </c>
      <c r="AF33" s="1384">
        <v>39995</v>
      </c>
      <c r="AG33" s="1372" t="s">
        <v>4611</v>
      </c>
      <c r="AH33" s="12"/>
      <c r="AI33" s="1494" t="s">
        <v>4194</v>
      </c>
      <c r="AJ33" s="429"/>
      <c r="AK33" s="1495"/>
      <c r="AL33" s="8" t="s">
        <v>205</v>
      </c>
    </row>
    <row r="34" spans="2:38" ht="15.95" customHeight="1">
      <c r="B34" s="1478">
        <v>7</v>
      </c>
      <c r="C34" s="1471" t="s">
        <v>2730</v>
      </c>
      <c r="D34" s="795" t="s">
        <v>4484</v>
      </c>
      <c r="E34" s="1471" t="s">
        <v>4499</v>
      </c>
      <c r="F34" s="1489"/>
      <c r="G34" s="1393"/>
      <c r="H34" s="1478">
        <v>7</v>
      </c>
      <c r="I34" s="1474" t="s">
        <v>4391</v>
      </c>
      <c r="J34" s="3856"/>
      <c r="K34" s="1622" t="s">
        <v>2219</v>
      </c>
      <c r="L34" s="1618">
        <v>27581339</v>
      </c>
      <c r="N34" s="3897" t="str">
        <f ca="1">+AF113</f>
        <v xml:space="preserve"> </v>
      </c>
      <c r="O34" s="3897"/>
      <c r="P34" s="3897"/>
      <c r="Q34" s="3897"/>
      <c r="R34" s="3864" t="str">
        <f ca="1">+AF132</f>
        <v xml:space="preserve"> </v>
      </c>
      <c r="S34" s="3864"/>
      <c r="T34" s="3864"/>
      <c r="U34" s="3864"/>
      <c r="V34" s="3864"/>
      <c r="X34" s="1229"/>
      <c r="Y34" s="1371" t="str">
        <f t="shared" ca="1" si="9"/>
        <v xml:space="preserve"> </v>
      </c>
      <c r="Z34" s="1380">
        <v>7</v>
      </c>
      <c r="AA34" s="1400" t="s">
        <v>4173</v>
      </c>
      <c r="AB34" s="1370" t="s">
        <v>4174</v>
      </c>
      <c r="AC34" s="2026">
        <v>22045</v>
      </c>
      <c r="AD34" s="1796">
        <f t="shared" si="10"/>
        <v>5</v>
      </c>
      <c r="AE34" s="2005">
        <f t="shared" ca="1" si="11"/>
        <v>59</v>
      </c>
      <c r="AF34" s="1384">
        <v>39995</v>
      </c>
      <c r="AG34" s="1372" t="s">
        <v>4291</v>
      </c>
      <c r="AI34" s="134" t="s">
        <v>412</v>
      </c>
      <c r="AJ34" s="429"/>
      <c r="AK34" s="1495"/>
      <c r="AL34" s="8" t="s">
        <v>205</v>
      </c>
    </row>
    <row r="35" spans="2:38" ht="15.95" customHeight="1">
      <c r="B35" s="1478">
        <v>8</v>
      </c>
      <c r="C35" s="1471" t="s">
        <v>4500</v>
      </c>
      <c r="D35" s="1473" t="s">
        <v>4501</v>
      </c>
      <c r="E35" s="1471" t="s">
        <v>894</v>
      </c>
      <c r="F35" s="1490"/>
      <c r="G35" s="1393"/>
      <c r="H35" s="1478">
        <v>8</v>
      </c>
      <c r="I35" s="1474" t="s">
        <v>496</v>
      </c>
      <c r="J35" s="3857"/>
      <c r="K35" s="1241"/>
      <c r="O35" s="1199"/>
      <c r="P35" s="1868">
        <v>41630</v>
      </c>
      <c r="Q35" s="1450"/>
      <c r="R35" s="1670" t="s">
        <v>4310</v>
      </c>
      <c r="S35" s="1444"/>
      <c r="T35" s="645"/>
      <c r="V35" s="1344"/>
      <c r="X35" s="1229"/>
      <c r="Y35" s="1371" t="str">
        <f t="shared" ca="1" si="9"/>
        <v xml:space="preserve"> </v>
      </c>
      <c r="Z35" s="1380">
        <v>8</v>
      </c>
      <c r="AA35" s="1400" t="s">
        <v>4833</v>
      </c>
      <c r="AB35" s="1370" t="s">
        <v>438</v>
      </c>
      <c r="AC35" s="2026">
        <v>22403</v>
      </c>
      <c r="AD35" s="1796">
        <f t="shared" si="10"/>
        <v>5</v>
      </c>
      <c r="AE35" s="2005">
        <f t="shared" ca="1" si="11"/>
        <v>58</v>
      </c>
      <c r="AF35" s="1384">
        <v>40452</v>
      </c>
      <c r="AG35" s="1372" t="s">
        <v>4611</v>
      </c>
      <c r="AI35" s="134" t="s">
        <v>2347</v>
      </c>
      <c r="AJ35" s="429"/>
      <c r="AK35" s="1495"/>
      <c r="AL35" s="8" t="s">
        <v>909</v>
      </c>
    </row>
    <row r="36" spans="2:38" ht="12.2" customHeight="1">
      <c r="F36" s="1393"/>
      <c r="G36" s="1393"/>
      <c r="H36" s="1479"/>
      <c r="J36" s="1393"/>
      <c r="K36" s="1241"/>
      <c r="O36" s="1667" t="s">
        <v>4583</v>
      </c>
      <c r="P36" s="1668">
        <v>40919</v>
      </c>
      <c r="Q36" s="1194" t="s">
        <v>4308</v>
      </c>
      <c r="R36" s="1669">
        <v>108</v>
      </c>
      <c r="S36" s="1666">
        <v>40936</v>
      </c>
      <c r="T36" s="305" t="s">
        <v>4309</v>
      </c>
      <c r="U36" s="305" t="s">
        <v>4307</v>
      </c>
      <c r="V36" s="305"/>
      <c r="W36" s="83"/>
      <c r="X36" s="1229"/>
      <c r="Y36" s="1371" t="str">
        <f t="shared" ca="1" si="9"/>
        <v xml:space="preserve"> </v>
      </c>
      <c r="Z36" s="1380">
        <v>9</v>
      </c>
      <c r="AA36" s="1400" t="s">
        <v>5047</v>
      </c>
      <c r="AB36" s="1370" t="s">
        <v>5048</v>
      </c>
      <c r="AC36" s="2026">
        <v>19158</v>
      </c>
      <c r="AD36" s="1796">
        <f t="shared" si="10"/>
        <v>6</v>
      </c>
      <c r="AE36" s="2005">
        <f t="shared" ca="1" si="11"/>
        <v>67</v>
      </c>
      <c r="AF36" s="1384">
        <v>39995</v>
      </c>
      <c r="AG36" s="1372" t="s">
        <v>5046</v>
      </c>
    </row>
    <row r="37" spans="2:38" ht="15.95" customHeight="1">
      <c r="B37" s="1392"/>
      <c r="C37" s="1392"/>
      <c r="D37" s="1470"/>
      <c r="E37" s="1660" t="s">
        <v>4583</v>
      </c>
      <c r="F37" s="1661">
        <v>40938</v>
      </c>
      <c r="G37" s="1662"/>
      <c r="H37" s="1662" t="s">
        <v>33</v>
      </c>
      <c r="I37" s="1663">
        <f>+F38-F37</f>
        <v>14</v>
      </c>
      <c r="J37" s="1664">
        <v>6</v>
      </c>
      <c r="K37" s="1665">
        <f>+J37*I37+K38</f>
        <v>106</v>
      </c>
      <c r="L37" s="1624">
        <v>13.15</v>
      </c>
      <c r="N37" s="76"/>
      <c r="O37" s="1667" t="s">
        <v>4583</v>
      </c>
      <c r="P37" s="1668">
        <v>40938</v>
      </c>
      <c r="Q37" s="1194" t="s">
        <v>4308</v>
      </c>
      <c r="R37" s="1669">
        <v>106</v>
      </c>
      <c r="S37" s="1666">
        <v>40977</v>
      </c>
      <c r="T37" s="305" t="s">
        <v>4309</v>
      </c>
      <c r="U37" s="305" t="s">
        <v>4307</v>
      </c>
      <c r="V37" s="305"/>
      <c r="W37" s="83"/>
      <c r="X37" s="1229"/>
      <c r="Y37" s="1371" t="str">
        <f t="shared" ca="1" si="9"/>
        <v xml:space="preserve"> </v>
      </c>
      <c r="Z37" s="1380">
        <v>10</v>
      </c>
      <c r="AA37" s="1400" t="s">
        <v>3635</v>
      </c>
      <c r="AB37" s="1370" t="s">
        <v>1920</v>
      </c>
      <c r="AC37" s="2026">
        <v>17012</v>
      </c>
      <c r="AD37" s="1796">
        <f t="shared" si="10"/>
        <v>7</v>
      </c>
      <c r="AE37" s="2005">
        <f t="shared" ca="1" si="11"/>
        <v>73</v>
      </c>
      <c r="AF37" s="1384">
        <v>40330</v>
      </c>
      <c r="AG37" s="1372" t="s">
        <v>4611</v>
      </c>
    </row>
    <row r="38" spans="2:38" ht="15.95" customHeight="1">
      <c r="F38" s="1673">
        <v>40952</v>
      </c>
      <c r="K38">
        <f>7+4+7+4</f>
        <v>22</v>
      </c>
      <c r="L38" s="1624">
        <f>+L37*1.18</f>
        <v>15.516999999999999</v>
      </c>
      <c r="N38" s="76"/>
      <c r="O38" s="1798" t="s">
        <v>4583</v>
      </c>
      <c r="P38" s="1799"/>
      <c r="Q38" s="518" t="s">
        <v>4308</v>
      </c>
      <c r="R38" s="1800"/>
      <c r="S38" s="1801"/>
      <c r="T38" s="305" t="s">
        <v>4309</v>
      </c>
      <c r="U38" s="305" t="s">
        <v>4307</v>
      </c>
      <c r="V38" s="305"/>
      <c r="W38" s="83"/>
      <c r="X38" s="1229"/>
      <c r="Y38" s="1371" t="str">
        <f t="shared" ca="1" si="9"/>
        <v xml:space="preserve"> </v>
      </c>
      <c r="Z38" s="1380">
        <v>11</v>
      </c>
      <c r="AA38" s="1400" t="s">
        <v>439</v>
      </c>
      <c r="AB38" s="1370" t="s">
        <v>3159</v>
      </c>
      <c r="AC38" s="2026">
        <v>22470</v>
      </c>
      <c r="AD38" s="1796">
        <f t="shared" si="10"/>
        <v>7</v>
      </c>
      <c r="AE38" s="2005">
        <f t="shared" ca="1" si="11"/>
        <v>58</v>
      </c>
      <c r="AF38" s="1384">
        <v>40483</v>
      </c>
      <c r="AG38" s="1372" t="s">
        <v>4291</v>
      </c>
      <c r="AH38" s="1260"/>
    </row>
    <row r="39" spans="2:38" ht="15.95" customHeight="1">
      <c r="J39" s="1858" t="s">
        <v>3894</v>
      </c>
      <c r="K39" s="1858"/>
      <c r="L39" s="1858"/>
      <c r="M39" s="1858"/>
      <c r="N39" s="1858"/>
      <c r="O39" s="1858"/>
      <c r="P39" s="1858"/>
      <c r="Q39" s="1858"/>
      <c r="R39" s="1858"/>
      <c r="S39" s="1858"/>
      <c r="W39" s="1092"/>
      <c r="X39" s="1229"/>
      <c r="Y39" s="1371" t="str">
        <f t="shared" ca="1" si="9"/>
        <v xml:space="preserve"> </v>
      </c>
      <c r="Z39" s="1380">
        <v>12</v>
      </c>
      <c r="AA39" s="1400" t="s">
        <v>4193</v>
      </c>
      <c r="AB39" s="1370" t="s">
        <v>2732</v>
      </c>
      <c r="AC39" s="2026">
        <v>26509</v>
      </c>
      <c r="AD39" s="1796">
        <f t="shared" si="10"/>
        <v>7</v>
      </c>
      <c r="AE39" s="2005">
        <f t="shared" ca="1" si="11"/>
        <v>47</v>
      </c>
      <c r="AF39" s="1384">
        <v>39995</v>
      </c>
      <c r="AG39" s="1372" t="s">
        <v>2132</v>
      </c>
      <c r="AH39" s="1260"/>
    </row>
    <row r="40" spans="2:38" ht="15.2" customHeight="1">
      <c r="B40" s="1409" t="s">
        <v>2136</v>
      </c>
      <c r="C40" s="1" t="s">
        <v>3071</v>
      </c>
      <c r="D40" s="1407" t="s">
        <v>4677</v>
      </c>
      <c r="E40" s="1408">
        <v>70</v>
      </c>
      <c r="F40" s="8" t="s">
        <v>3070</v>
      </c>
      <c r="G40" s="1393"/>
      <c r="H40" s="1393"/>
      <c r="I40" s="1393"/>
      <c r="J40" s="1863"/>
      <c r="K40" s="1863"/>
      <c r="L40" s="1863"/>
      <c r="M40" s="1863"/>
      <c r="N40" s="1863"/>
      <c r="O40" s="1863"/>
      <c r="P40" s="1863"/>
      <c r="Q40" s="1863"/>
      <c r="R40" s="1863"/>
      <c r="S40" s="1863"/>
      <c r="W40" s="1093"/>
      <c r="Y40" s="1371" t="str">
        <f t="shared" ca="1" si="9"/>
        <v xml:space="preserve"> </v>
      </c>
      <c r="Z40" s="1380">
        <v>13</v>
      </c>
      <c r="AA40" s="1400" t="s">
        <v>899</v>
      </c>
      <c r="AB40" s="1370" t="s">
        <v>467</v>
      </c>
      <c r="AC40" s="2026">
        <v>18889</v>
      </c>
      <c r="AD40" s="1796">
        <f t="shared" si="10"/>
        <v>9</v>
      </c>
      <c r="AE40" s="2005">
        <f t="shared" ca="1" si="11"/>
        <v>68</v>
      </c>
      <c r="AF40" s="1384">
        <v>39995</v>
      </c>
      <c r="AG40" s="1372" t="s">
        <v>4611</v>
      </c>
      <c r="AH40" s="1230"/>
    </row>
    <row r="41" spans="2:38" ht="15.2" customHeight="1">
      <c r="B41" s="1409"/>
      <c r="C41" s="2" t="s">
        <v>2620</v>
      </c>
      <c r="D41" s="1407"/>
      <c r="E41" s="1408"/>
      <c r="F41" s="8"/>
      <c r="G41" s="1393"/>
      <c r="H41" s="1393"/>
      <c r="I41" s="1393"/>
      <c r="J41" s="1858" t="s">
        <v>3538</v>
      </c>
      <c r="K41" s="1858"/>
      <c r="L41" s="1858"/>
      <c r="M41" s="1858"/>
      <c r="N41" s="1858"/>
      <c r="O41" s="1858"/>
      <c r="P41" s="1858"/>
      <c r="Q41" s="1858"/>
      <c r="R41" s="1858"/>
      <c r="S41" s="1858"/>
      <c r="W41" s="1093"/>
      <c r="Y41" s="1371" t="str">
        <f t="shared" ca="1" si="9"/>
        <v xml:space="preserve"> </v>
      </c>
      <c r="Z41" s="1380">
        <v>14</v>
      </c>
      <c r="AA41" s="1400" t="s">
        <v>2160</v>
      </c>
      <c r="AB41" s="1370" t="s">
        <v>46</v>
      </c>
      <c r="AC41" s="2026">
        <v>20702</v>
      </c>
      <c r="AD41" s="1796">
        <f t="shared" si="10"/>
        <v>9</v>
      </c>
      <c r="AE41" s="2005">
        <f t="shared" ca="1" si="11"/>
        <v>63</v>
      </c>
      <c r="AF41" s="1384">
        <v>39995</v>
      </c>
      <c r="AG41" s="1372" t="s">
        <v>2990</v>
      </c>
      <c r="AH41" s="1230"/>
    </row>
    <row r="42" spans="2:38" ht="15.2" customHeight="1">
      <c r="B42" s="1409"/>
      <c r="C42" s="2" t="s">
        <v>3148</v>
      </c>
      <c r="D42" s="1407"/>
      <c r="E42" s="1408"/>
      <c r="F42" s="8"/>
      <c r="G42" s="1393"/>
      <c r="H42" s="3847">
        <v>300</v>
      </c>
      <c r="I42" s="3848"/>
      <c r="J42" s="1863"/>
      <c r="K42" s="1863"/>
      <c r="L42" s="1863"/>
      <c r="M42" s="1863"/>
      <c r="N42" s="1863"/>
      <c r="O42" s="1863"/>
      <c r="P42" s="1863"/>
      <c r="Q42" s="1863"/>
      <c r="R42" s="1863"/>
      <c r="S42" s="1863"/>
      <c r="V42">
        <f>151-40</f>
        <v>111</v>
      </c>
      <c r="W42" s="1093"/>
      <c r="Y42" s="1371" t="str">
        <f t="shared" ca="1" si="9"/>
        <v xml:space="preserve"> </v>
      </c>
      <c r="Z42" s="1380">
        <v>15</v>
      </c>
      <c r="AA42" s="1400" t="s">
        <v>4292</v>
      </c>
      <c r="AB42" s="1370" t="s">
        <v>1212</v>
      </c>
      <c r="AC42" s="2026">
        <v>21808</v>
      </c>
      <c r="AD42" s="1796">
        <f t="shared" si="10"/>
        <v>9</v>
      </c>
      <c r="AE42" s="2005">
        <f t="shared" ca="1" si="11"/>
        <v>60</v>
      </c>
      <c r="AF42" s="1384">
        <v>39995</v>
      </c>
      <c r="AG42" s="1372" t="s">
        <v>1166</v>
      </c>
      <c r="AH42" s="1231"/>
    </row>
    <row r="43" spans="2:38" ht="15.2" customHeight="1">
      <c r="B43" s="1409"/>
      <c r="C43" s="2" t="s">
        <v>556</v>
      </c>
      <c r="D43" s="1407"/>
      <c r="E43" s="1408"/>
      <c r="F43" s="8"/>
      <c r="G43" s="1393"/>
      <c r="H43" s="3847">
        <v>120</v>
      </c>
      <c r="I43" s="3848"/>
      <c r="J43" s="1858" t="s">
        <v>2422</v>
      </c>
      <c r="K43" s="1858"/>
      <c r="L43" s="1858"/>
      <c r="M43" s="1858"/>
      <c r="N43" s="1858"/>
      <c r="O43" s="1858"/>
      <c r="P43" s="1858"/>
      <c r="Q43" s="1858"/>
      <c r="R43" s="1858"/>
      <c r="S43" s="1858"/>
      <c r="V43">
        <v>2.56</v>
      </c>
      <c r="W43" s="1093"/>
      <c r="Y43" s="1371" t="str">
        <f t="shared" ca="1" si="9"/>
        <v xml:space="preserve"> </v>
      </c>
      <c r="Z43" s="1380">
        <v>16</v>
      </c>
      <c r="AA43" s="1400" t="s">
        <v>2697</v>
      </c>
      <c r="AB43" s="1370" t="s">
        <v>2006</v>
      </c>
      <c r="AC43" s="2026">
        <v>24006</v>
      </c>
      <c r="AD43" s="1796">
        <f t="shared" si="10"/>
        <v>9</v>
      </c>
      <c r="AE43" s="2005">
        <f t="shared" ca="1" si="11"/>
        <v>54</v>
      </c>
      <c r="AF43" s="1384">
        <v>39995</v>
      </c>
      <c r="AG43" s="1372" t="s">
        <v>2007</v>
      </c>
      <c r="AH43" s="1230"/>
    </row>
    <row r="44" spans="2:38" ht="15.2" customHeight="1">
      <c r="B44" s="1409"/>
      <c r="C44" s="2" t="s">
        <v>526</v>
      </c>
      <c r="D44" s="1407"/>
      <c r="E44" s="1408"/>
      <c r="F44" s="8"/>
      <c r="G44" s="1393"/>
      <c r="H44" s="1393"/>
      <c r="I44" s="1393"/>
      <c r="J44" s="1863"/>
      <c r="K44" s="1863"/>
      <c r="L44" s="1863"/>
      <c r="M44" s="1863"/>
      <c r="N44" s="1863"/>
      <c r="O44" s="1863"/>
      <c r="P44" s="1863"/>
      <c r="Q44" s="1863"/>
      <c r="R44" s="1863"/>
      <c r="S44" s="1863"/>
      <c r="V44">
        <f>+V43*V42</f>
        <v>284.16000000000003</v>
      </c>
      <c r="W44" s="1093"/>
      <c r="Y44" s="1371" t="str">
        <f t="shared" ca="1" si="9"/>
        <v xml:space="preserve"> </v>
      </c>
      <c r="Z44" s="1380">
        <v>17</v>
      </c>
      <c r="AA44" s="1400" t="s">
        <v>4995</v>
      </c>
      <c r="AB44" s="1370" t="s">
        <v>1989</v>
      </c>
      <c r="AC44" s="2026">
        <v>26937</v>
      </c>
      <c r="AD44" s="1796">
        <f t="shared" si="10"/>
        <v>9</v>
      </c>
      <c r="AE44" s="2005">
        <f t="shared" ca="1" si="11"/>
        <v>46</v>
      </c>
      <c r="AF44" s="1384">
        <v>39995</v>
      </c>
      <c r="AG44" s="1372" t="s">
        <v>5046</v>
      </c>
      <c r="AH44" s="1230"/>
    </row>
    <row r="45" spans="2:38" ht="15.2" customHeight="1">
      <c r="B45" s="1409"/>
      <c r="C45" s="2"/>
      <c r="D45" s="1407"/>
      <c r="E45" s="1408"/>
      <c r="F45" s="8"/>
      <c r="G45" s="1393"/>
      <c r="H45" s="1393"/>
      <c r="I45" s="1393"/>
      <c r="J45" s="1863"/>
      <c r="K45" s="1863"/>
      <c r="L45" s="1863"/>
      <c r="M45" s="1863"/>
      <c r="N45" s="1863"/>
      <c r="O45" s="1863"/>
      <c r="P45" s="1863"/>
      <c r="Q45" s="1863"/>
      <c r="R45" s="1863"/>
      <c r="S45" s="1863"/>
      <c r="W45" s="1093"/>
      <c r="Y45" s="1371" t="str">
        <f t="shared" ca="1" si="9"/>
        <v xml:space="preserve"> </v>
      </c>
      <c r="Z45" s="1380">
        <v>18</v>
      </c>
      <c r="AA45" s="1400" t="s">
        <v>102</v>
      </c>
      <c r="AB45" s="1370" t="s">
        <v>3585</v>
      </c>
      <c r="AC45" s="2026">
        <v>22578</v>
      </c>
      <c r="AD45" s="1796">
        <f t="shared" si="10"/>
        <v>10</v>
      </c>
      <c r="AE45" s="2005">
        <f t="shared" ca="1" si="11"/>
        <v>58</v>
      </c>
      <c r="AF45" s="1384">
        <v>39995</v>
      </c>
      <c r="AG45" s="1372" t="s">
        <v>4291</v>
      </c>
      <c r="AH45" s="1230"/>
    </row>
    <row r="46" spans="2:38" ht="15.2" customHeight="1">
      <c r="B46" s="1409"/>
      <c r="D46" s="1407"/>
      <c r="E46" s="1408" t="s">
        <v>3056</v>
      </c>
      <c r="F46" s="8" t="s">
        <v>3057</v>
      </c>
      <c r="G46" s="1393"/>
      <c r="H46" s="1393"/>
      <c r="I46" s="1393"/>
      <c r="J46" s="1863"/>
      <c r="K46" s="1863"/>
      <c r="L46" s="1863"/>
      <c r="M46" s="1863"/>
      <c r="N46" s="1863"/>
      <c r="O46" s="1863"/>
      <c r="P46" s="1863"/>
      <c r="Q46" s="1863"/>
      <c r="R46" s="1863"/>
      <c r="S46" s="1863"/>
      <c r="W46" s="1093"/>
      <c r="Y46" s="1371" t="str">
        <f t="shared" ca="1" si="9"/>
        <v xml:space="preserve"> </v>
      </c>
      <c r="Z46" s="1380">
        <v>19</v>
      </c>
      <c r="AA46" s="1400" t="s">
        <v>664</v>
      </c>
      <c r="AB46" s="1370" t="s">
        <v>4290</v>
      </c>
      <c r="AC46" s="2026">
        <v>21155</v>
      </c>
      <c r="AD46" s="1796">
        <f t="shared" si="10"/>
        <v>12</v>
      </c>
      <c r="AE46" s="2005">
        <f t="shared" ca="1" si="11"/>
        <v>62</v>
      </c>
      <c r="AF46" s="1384">
        <v>39995</v>
      </c>
      <c r="AG46" s="1372" t="s">
        <v>4291</v>
      </c>
      <c r="AH46" s="1230"/>
    </row>
    <row r="47" spans="2:38" ht="15.2" customHeight="1" thickBot="1">
      <c r="B47" s="641"/>
      <c r="C47" s="1315" t="s">
        <v>3674</v>
      </c>
      <c r="D47" s="1316"/>
      <c r="E47" s="1317" t="s">
        <v>720</v>
      </c>
      <c r="F47" s="1318">
        <f>7*2.54</f>
        <v>17.78</v>
      </c>
      <c r="G47" s="3"/>
      <c r="H47" s="1309" t="s">
        <v>2109</v>
      </c>
      <c r="I47" s="1225"/>
      <c r="N47" s="1793"/>
      <c r="O47" s="1199"/>
      <c r="P47" s="1689"/>
      <c r="W47" s="1093"/>
      <c r="Y47" s="1373" t="str">
        <f t="shared" ca="1" si="9"/>
        <v xml:space="preserve"> </v>
      </c>
      <c r="Z47" s="1382">
        <v>20</v>
      </c>
      <c r="AA47" s="1401" t="s">
        <v>40</v>
      </c>
      <c r="AB47" s="1374" t="s">
        <v>1793</v>
      </c>
      <c r="AC47" s="2027">
        <v>21886</v>
      </c>
      <c r="AD47" s="1797">
        <f t="shared" si="10"/>
        <v>12</v>
      </c>
      <c r="AE47" s="2006">
        <f t="shared" ca="1" si="11"/>
        <v>60</v>
      </c>
      <c r="AF47" s="1385">
        <v>39995</v>
      </c>
      <c r="AG47" s="1376" t="s">
        <v>4172</v>
      </c>
      <c r="AH47" s="1230"/>
    </row>
    <row r="48" spans="2:38" ht="15.2" customHeight="1" thickTop="1" thickBot="1">
      <c r="B48" s="641"/>
      <c r="C48" s="642"/>
      <c r="D48" s="643"/>
      <c r="E48" s="644"/>
      <c r="F48" s="645"/>
      <c r="G48" s="3"/>
      <c r="H48" s="75"/>
      <c r="I48" s="646">
        <f>+J48/3000/1.18</f>
        <v>10.01135593220339</v>
      </c>
      <c r="J48" s="1250">
        <v>35440.199999999997</v>
      </c>
      <c r="K48" s="1244">
        <f>+J48-L48</f>
        <v>5406.1322033898286</v>
      </c>
      <c r="L48" s="1245">
        <f>+J48/1.18</f>
        <v>30034.067796610168</v>
      </c>
      <c r="N48" s="1793"/>
      <c r="O48" s="1199"/>
      <c r="P48" s="1689">
        <v>191.03</v>
      </c>
      <c r="S48" s="69">
        <v>41373</v>
      </c>
      <c r="W48" s="1093"/>
      <c r="Y48" s="1482">
        <f ca="1">SUM(Y28:Y47)</f>
        <v>0</v>
      </c>
      <c r="Z48" s="1377"/>
      <c r="AA48" s="1398"/>
      <c r="AB48" s="1363"/>
      <c r="AC48" s="1367" t="s">
        <v>205</v>
      </c>
      <c r="AD48" s="1367"/>
      <c r="AE48" s="2002"/>
      <c r="AF48" s="1386"/>
      <c r="AG48" s="1364"/>
      <c r="AH48" s="1230"/>
    </row>
    <row r="49" spans="2:34" ht="15.2" customHeight="1" thickTop="1" thickBot="1">
      <c r="B49" s="996">
        <v>0</v>
      </c>
      <c r="C49" s="1202" t="s">
        <v>5031</v>
      </c>
      <c r="D49" s="1209">
        <v>4</v>
      </c>
      <c r="E49" s="1210" t="s">
        <v>5032</v>
      </c>
      <c r="F49" s="930"/>
      <c r="G49" s="931"/>
      <c r="H49" s="1209">
        <v>8</v>
      </c>
      <c r="I49" s="1242" t="s">
        <v>1467</v>
      </c>
      <c r="J49" s="1251" t="s">
        <v>870</v>
      </c>
      <c r="K49" s="1246">
        <f>+L48/3000</f>
        <v>10.01135593220339</v>
      </c>
      <c r="L49" s="1247">
        <f>+K50-K49</f>
        <v>0.11864406779660897</v>
      </c>
      <c r="N49" s="1793"/>
      <c r="O49" s="1199"/>
      <c r="P49" s="1689">
        <v>213.72</v>
      </c>
      <c r="S49" s="69">
        <v>41403</v>
      </c>
      <c r="W49" s="1091"/>
      <c r="Y49" s="1365"/>
      <c r="Z49" s="1378"/>
      <c r="AA49" s="1402"/>
      <c r="AB49" s="1369" t="s">
        <v>222</v>
      </c>
      <c r="AC49" s="1381">
        <v>1</v>
      </c>
      <c r="AD49" s="1381"/>
      <c r="AE49" s="2003"/>
      <c r="AF49" s="1368" t="str">
        <f ca="1">IF(Y48=1,DGET(Y27:AG47,AB27,AC48:AC49),IF(Y48=0," ",CONCATENATE("Hay ",Y48," Cumpleaños")))</f>
        <v xml:space="preserve"> </v>
      </c>
      <c r="AG49" s="1366"/>
      <c r="AH49" s="1230"/>
    </row>
    <row r="50" spans="2:34" ht="15.2" customHeight="1" thickTop="1" thickBot="1">
      <c r="B50" s="1203">
        <v>1</v>
      </c>
      <c r="C50" s="1204" t="s">
        <v>553</v>
      </c>
      <c r="D50" s="1203">
        <v>5</v>
      </c>
      <c r="E50" s="1205" t="s">
        <v>5033</v>
      </c>
      <c r="F50" s="930"/>
      <c r="G50" s="931"/>
      <c r="H50" s="1206">
        <v>9</v>
      </c>
      <c r="I50" s="1243" t="s">
        <v>1468</v>
      </c>
      <c r="J50" s="1248"/>
      <c r="K50" s="1692">
        <f>9.12+1.01</f>
        <v>10.129999999999999</v>
      </c>
      <c r="L50" s="1249">
        <f>+L49/K50</f>
        <v>1.1712148844680057E-2</v>
      </c>
      <c r="N50" s="1793"/>
      <c r="O50" s="1199"/>
      <c r="P50" s="1802">
        <v>215.23</v>
      </c>
      <c r="S50" s="637">
        <f>+S48-S49</f>
        <v>-30</v>
      </c>
      <c r="Y50" s="1356"/>
      <c r="Z50" s="1356"/>
      <c r="AC50" s="1058"/>
      <c r="AD50" s="1058"/>
      <c r="AH50" s="1230"/>
    </row>
    <row r="51" spans="2:34" ht="15.2" customHeight="1">
      <c r="B51" s="1203">
        <v>2</v>
      </c>
      <c r="C51" s="1204" t="s">
        <v>1273</v>
      </c>
      <c r="D51" s="1203">
        <v>6</v>
      </c>
      <c r="E51" s="1205" t="s">
        <v>868</v>
      </c>
      <c r="F51" s="933" t="s">
        <v>454</v>
      </c>
      <c r="G51" s="931"/>
      <c r="H51" s="641"/>
      <c r="I51" s="932"/>
      <c r="J51" s="12">
        <v>37493.4</v>
      </c>
      <c r="K51">
        <v>8.11</v>
      </c>
      <c r="L51" s="1193"/>
      <c r="N51" s="1793"/>
      <c r="O51" s="1199"/>
      <c r="P51" s="1803">
        <f>SUM(P48:P50)</f>
        <v>619.98</v>
      </c>
      <c r="X51" s="1092"/>
      <c r="Y51" s="1356"/>
      <c r="Z51" s="1356"/>
      <c r="AC51" s="1058"/>
      <c r="AD51" s="1058"/>
      <c r="AH51" s="1230"/>
    </row>
    <row r="52" spans="2:34" ht="15.2" customHeight="1" thickBot="1">
      <c r="B52" s="1206">
        <v>3</v>
      </c>
      <c r="C52" s="1207" t="s">
        <v>2242</v>
      </c>
      <c r="D52" s="1206">
        <v>7</v>
      </c>
      <c r="E52" s="1208" t="s">
        <v>4409</v>
      </c>
      <c r="F52" s="930"/>
      <c r="G52" s="931"/>
      <c r="H52" s="1223" t="s">
        <v>345</v>
      </c>
      <c r="I52" s="1088"/>
      <c r="J52" s="1089" t="s">
        <v>4281</v>
      </c>
      <c r="K52" s="1089" t="s">
        <v>4282</v>
      </c>
      <c r="L52" s="1193"/>
      <c r="N52" s="1793"/>
      <c r="P52" s="1690"/>
      <c r="Q52" s="1450"/>
      <c r="R52" s="1253">
        <v>40911</v>
      </c>
      <c r="S52" s="1444"/>
      <c r="T52" s="645"/>
      <c r="V52" s="1866"/>
      <c r="X52" s="1093"/>
      <c r="Y52" s="1356"/>
      <c r="Z52" s="1356"/>
      <c r="AC52" s="1058"/>
      <c r="AD52" s="1058"/>
      <c r="AH52" s="1231"/>
    </row>
    <row r="53" spans="2:34" ht="18">
      <c r="B53" s="641"/>
      <c r="C53" s="642"/>
      <c r="D53" s="643"/>
      <c r="E53" s="644"/>
      <c r="F53" s="645"/>
      <c r="G53" s="3"/>
      <c r="H53" s="1179" t="s">
        <v>3160</v>
      </c>
      <c r="I53" s="1180"/>
      <c r="J53" s="1181"/>
      <c r="K53" s="75"/>
      <c r="L53" s="1193"/>
      <c r="N53" s="1793"/>
      <c r="P53" s="1689">
        <v>198.36</v>
      </c>
      <c r="V53" s="1866"/>
      <c r="X53" s="1093"/>
      <c r="Y53" s="1356"/>
      <c r="Z53" s="1356"/>
      <c r="AC53" s="1058"/>
      <c r="AD53" s="1058"/>
      <c r="AH53" s="1231"/>
    </row>
    <row r="54" spans="2:34" ht="15.75">
      <c r="B54" s="641"/>
      <c r="C54" s="1511" t="s">
        <v>4265</v>
      </c>
      <c r="D54" s="643"/>
      <c r="E54" s="644"/>
      <c r="F54" s="1512" t="s">
        <v>4266</v>
      </c>
      <c r="G54" s="3"/>
      <c r="H54" s="1574" t="s">
        <v>4201</v>
      </c>
      <c r="I54" s="1396"/>
      <c r="J54" s="1397"/>
      <c r="K54" s="75"/>
      <c r="L54" s="1193"/>
      <c r="N54" s="1793">
        <v>468.65</v>
      </c>
      <c r="P54" s="1689">
        <v>142.91</v>
      </c>
      <c r="R54" s="1507" t="s">
        <v>4936</v>
      </c>
      <c r="S54" s="1508" t="s">
        <v>2008</v>
      </c>
      <c r="T54" s="1509" t="s">
        <v>2012</v>
      </c>
      <c r="U54" s="1510"/>
      <c r="V54" s="1867"/>
      <c r="X54" s="1093"/>
      <c r="Y54" s="1356"/>
      <c r="Z54" s="1356"/>
      <c r="AC54" s="1058"/>
      <c r="AD54" s="1058"/>
      <c r="AH54" s="1231"/>
    </row>
    <row r="55" spans="2:34" ht="18">
      <c r="B55" s="641"/>
      <c r="C55" s="1394" t="s">
        <v>4619</v>
      </c>
      <c r="D55" s="643"/>
      <c r="E55" s="644"/>
      <c r="F55" s="645"/>
      <c r="G55" s="3"/>
      <c r="H55" s="1395"/>
      <c r="I55" s="1396" t="s">
        <v>3862</v>
      </c>
      <c r="J55" s="1397"/>
      <c r="K55" s="75"/>
      <c r="L55" s="1193"/>
      <c r="N55" s="1793">
        <v>468.65</v>
      </c>
      <c r="P55" s="1802">
        <v>228.81</v>
      </c>
      <c r="R55" s="1497">
        <v>0.99</v>
      </c>
      <c r="S55" s="1450">
        <v>1</v>
      </c>
      <c r="T55" s="75"/>
      <c r="U55" s="1498"/>
      <c r="V55" s="1866"/>
      <c r="X55" s="1093"/>
      <c r="Y55" s="1356"/>
      <c r="Z55" s="1356"/>
      <c r="AC55" s="1058"/>
      <c r="AD55" s="1058"/>
      <c r="AH55" s="1231"/>
    </row>
    <row r="56" spans="2:34" ht="18.95" customHeight="1">
      <c r="B56" s="641"/>
      <c r="C56" s="1612" t="s">
        <v>1765</v>
      </c>
      <c r="D56" s="1316"/>
      <c r="E56" s="1613"/>
      <c r="F56" s="1614" t="s">
        <v>1200</v>
      </c>
      <c r="G56" s="3"/>
      <c r="H56" s="1395"/>
      <c r="I56" s="1396"/>
      <c r="L56" s="1193"/>
      <c r="N56" s="1793">
        <v>468.65</v>
      </c>
      <c r="P56" s="1802">
        <v>150</v>
      </c>
      <c r="R56" s="1499">
        <f>+R55*S56</f>
        <v>3.1284000000000001</v>
      </c>
      <c r="S56" s="1500">
        <v>3.16</v>
      </c>
      <c r="T56" s="1501"/>
      <c r="U56" s="1502">
        <f>+R56/R59</f>
        <v>0.20407045009784736</v>
      </c>
      <c r="V56" s="1866"/>
      <c r="X56" s="1093"/>
      <c r="Y56" s="1356"/>
      <c r="Z56" s="1356"/>
      <c r="AC56" s="1058"/>
      <c r="AD56" s="1058"/>
      <c r="AH56" s="1231"/>
    </row>
    <row r="57" spans="2:34" ht="18">
      <c r="B57" s="641"/>
      <c r="C57" s="643" t="s">
        <v>913</v>
      </c>
      <c r="D57" s="1018" t="s">
        <v>2316</v>
      </c>
      <c r="F57" s="645"/>
      <c r="G57" s="3"/>
      <c r="H57" s="1395"/>
      <c r="I57" s="1429" t="s">
        <v>2419</v>
      </c>
      <c r="J57" s="1430">
        <v>40693</v>
      </c>
      <c r="K57" s="1431">
        <v>50</v>
      </c>
      <c r="L57" s="1193"/>
      <c r="N57" s="1793">
        <f>SUM(N54:N56)</f>
        <v>1405.9499999999998</v>
      </c>
      <c r="P57" s="1804">
        <f>SUM(P53:P56)</f>
        <v>720.07999999999993</v>
      </c>
      <c r="R57" s="1496" t="s">
        <v>2011</v>
      </c>
      <c r="S57" s="68"/>
      <c r="U57">
        <f>+R59/R56</f>
        <v>4.9002685078634443</v>
      </c>
      <c r="V57" s="1867"/>
      <c r="X57" s="1093"/>
      <c r="Y57" s="1356"/>
      <c r="Z57" s="1356"/>
      <c r="AC57" s="1058"/>
      <c r="AD57" s="1058"/>
      <c r="AH57" s="1231"/>
    </row>
    <row r="58" spans="2:34" ht="18.75" thickBot="1">
      <c r="B58" s="641"/>
      <c r="C58" s="1182" t="s">
        <v>2315</v>
      </c>
      <c r="E58" s="644"/>
      <c r="F58" s="645"/>
      <c r="G58" s="3"/>
      <c r="H58" s="1395"/>
      <c r="I58" s="1432" t="s">
        <v>2419</v>
      </c>
      <c r="J58" s="1433">
        <v>40707</v>
      </c>
      <c r="K58" s="1434">
        <v>100</v>
      </c>
      <c r="L58" s="1193"/>
      <c r="N58" s="1793"/>
      <c r="P58" s="1541">
        <v>24000</v>
      </c>
      <c r="R58" s="1503" t="s">
        <v>4936</v>
      </c>
      <c r="S58" s="1504" t="s">
        <v>2009</v>
      </c>
      <c r="T58" s="1505" t="s">
        <v>2010</v>
      </c>
      <c r="U58" s="1506"/>
      <c r="V58" s="1866"/>
      <c r="X58" s="1093"/>
      <c r="Y58" s="1356"/>
      <c r="Z58" s="1356"/>
      <c r="AC58" s="1058"/>
      <c r="AD58" s="1058"/>
      <c r="AH58" s="1231"/>
    </row>
    <row r="59" spans="2:34" ht="18.75" thickBot="1">
      <c r="B59" s="641"/>
      <c r="C59" s="642"/>
      <c r="D59" s="643"/>
      <c r="E59" s="644"/>
      <c r="F59" s="645"/>
      <c r="G59" s="3"/>
      <c r="H59" s="1395"/>
      <c r="I59" s="1396"/>
      <c r="J59" s="1397"/>
      <c r="K59" s="1427">
        <f>+K58+K57</f>
        <v>150</v>
      </c>
      <c r="L59" s="1193"/>
      <c r="N59" s="8">
        <v>88.25</v>
      </c>
      <c r="P59" s="1541">
        <v>23927.54</v>
      </c>
      <c r="R59" s="1499">
        <v>15.33</v>
      </c>
      <c r="S59" s="1500">
        <v>1</v>
      </c>
      <c r="T59" s="1501"/>
      <c r="U59" s="1502">
        <v>1</v>
      </c>
      <c r="V59" s="1866"/>
      <c r="X59" s="1093"/>
      <c r="Y59" s="1358" t="s">
        <v>205</v>
      </c>
      <c r="Z59" s="1379" t="s">
        <v>589</v>
      </c>
      <c r="AA59" s="1399" t="s">
        <v>27</v>
      </c>
      <c r="AB59" s="1359" t="s">
        <v>3634</v>
      </c>
      <c r="AC59" s="1360" t="s">
        <v>2398</v>
      </c>
      <c r="AD59" s="1360" t="s">
        <v>4593</v>
      </c>
      <c r="AE59" s="1999" t="s">
        <v>1584</v>
      </c>
      <c r="AF59" s="1383" t="s">
        <v>1958</v>
      </c>
      <c r="AG59" s="1361" t="s">
        <v>756</v>
      </c>
      <c r="AH59" s="1231"/>
    </row>
    <row r="60" spans="2:34" ht="18.75" thickBot="1">
      <c r="B60" s="641"/>
      <c r="C60" s="1602"/>
      <c r="D60" s="1601" t="s">
        <v>1523</v>
      </c>
      <c r="E60" s="1605" t="s">
        <v>601</v>
      </c>
      <c r="F60" s="645"/>
      <c r="G60" s="3"/>
      <c r="H60" s="1395"/>
      <c r="I60" s="1435" t="s">
        <v>4080</v>
      </c>
      <c r="J60" s="1430">
        <v>40693</v>
      </c>
      <c r="K60" s="1431">
        <v>44.6</v>
      </c>
      <c r="L60" s="1193"/>
      <c r="N60" s="8">
        <v>2</v>
      </c>
      <c r="P60" s="1691">
        <f>+P58-P59</f>
        <v>72.459999999999127</v>
      </c>
      <c r="R60" s="462"/>
      <c r="S60" s="68"/>
      <c r="V60" s="1866"/>
      <c r="X60" s="1093"/>
      <c r="Y60" s="1371" t="str">
        <f t="shared" ref="Y60:Y78" ca="1" si="12">IF(AND(MONTH($B$1)=MONTH(AC60),DAY($B$1)=DAY(AC60)),1, " ")</f>
        <v xml:space="preserve"> </v>
      </c>
      <c r="Z60" s="1380">
        <v>1</v>
      </c>
      <c r="AA60" s="1400" t="s">
        <v>4348</v>
      </c>
      <c r="AB60" s="1370" t="s">
        <v>3650</v>
      </c>
      <c r="AC60" s="2026">
        <v>20833</v>
      </c>
      <c r="AD60" s="1796">
        <f t="shared" ref="AD60:AD78" si="13">MONTH(AC60)</f>
        <v>1</v>
      </c>
      <c r="AE60" s="2005">
        <f t="shared" ref="AE60:AE78" ca="1" si="14">IF(MONTH(TODAY())&lt;MONTH(AC60),YEAR(TODAY())-YEAR(AC60)-1,IF(MONTH(TODAY())=MONTH(AC60),IF(DAY(TODAY())&lt;DAY(AC60),YEAR(TODAY())-YEAR(AC60),YEAR(TODAY())-YEAR(AC60)-1),YEAR(TODAY())-YEAR(AC60)))</f>
        <v>63</v>
      </c>
      <c r="AF60" s="1384">
        <v>39995</v>
      </c>
      <c r="AG60" s="1372" t="s">
        <v>1429</v>
      </c>
      <c r="AH60" s="1231"/>
    </row>
    <row r="61" spans="2:34" ht="18">
      <c r="B61" s="641"/>
      <c r="C61" s="1603" t="s">
        <v>1522</v>
      </c>
      <c r="D61" s="1606">
        <v>21.59</v>
      </c>
      <c r="E61" s="1607">
        <v>21.59</v>
      </c>
      <c r="F61" s="2718">
        <f>+D61/4</f>
        <v>5.3975</v>
      </c>
      <c r="G61" s="3"/>
      <c r="H61" s="1395"/>
      <c r="I61" s="1436" t="s">
        <v>2415</v>
      </c>
      <c r="J61" s="1433">
        <v>40693</v>
      </c>
      <c r="K61" s="1437">
        <v>2</v>
      </c>
      <c r="L61" s="1193"/>
      <c r="N61" s="8">
        <f>+N60+N59</f>
        <v>90.25</v>
      </c>
      <c r="P61" s="3854" t="s">
        <v>92</v>
      </c>
      <c r="Q61" s="3854"/>
      <c r="R61" s="3854"/>
      <c r="S61" s="3854"/>
      <c r="T61" s="3854"/>
      <c r="U61" s="3854"/>
      <c r="V61" s="3854"/>
      <c r="X61" s="1091"/>
      <c r="Y61" s="1371" t="str">
        <f t="shared" ca="1" si="12"/>
        <v xml:space="preserve"> </v>
      </c>
      <c r="Z61" s="1380">
        <v>2</v>
      </c>
      <c r="AA61" s="1400" t="s">
        <v>3651</v>
      </c>
      <c r="AB61" s="1370" t="s">
        <v>3652</v>
      </c>
      <c r="AC61" s="2026">
        <v>26305</v>
      </c>
      <c r="AD61" s="1796">
        <f t="shared" si="13"/>
        <v>1</v>
      </c>
      <c r="AE61" s="2005">
        <f t="shared" ca="1" si="14"/>
        <v>48</v>
      </c>
      <c r="AF61" s="1384">
        <v>39995</v>
      </c>
      <c r="AG61" s="1372" t="s">
        <v>1429</v>
      </c>
      <c r="AH61" s="1230"/>
    </row>
    <row r="62" spans="2:34" ht="18.75" thickBot="1">
      <c r="B62" s="641"/>
      <c r="C62" s="1604" t="s">
        <v>1521</v>
      </c>
      <c r="D62" s="1608">
        <v>27.94</v>
      </c>
      <c r="E62" s="1609">
        <f>+D62/2</f>
        <v>13.97</v>
      </c>
      <c r="F62" s="2718">
        <f>+D62/10</f>
        <v>2.794</v>
      </c>
      <c r="G62" s="3"/>
      <c r="H62" s="1395"/>
      <c r="I62" s="1435" t="s">
        <v>2416</v>
      </c>
      <c r="J62" s="1430">
        <v>40701</v>
      </c>
      <c r="K62" s="1438">
        <v>8</v>
      </c>
      <c r="L62" s="1193"/>
      <c r="N62" s="8">
        <f>100-N61</f>
        <v>9.75</v>
      </c>
      <c r="P62" s="3854"/>
      <c r="Q62" s="3854"/>
      <c r="R62" s="3854"/>
      <c r="S62" s="3854"/>
      <c r="T62" s="3854"/>
      <c r="U62" s="3854"/>
      <c r="V62" s="3854"/>
      <c r="Y62" s="1371" t="str">
        <f t="shared" ca="1" si="12"/>
        <v xml:space="preserve"> </v>
      </c>
      <c r="Z62" s="1380">
        <v>3</v>
      </c>
      <c r="AA62" s="1400" t="s">
        <v>1554</v>
      </c>
      <c r="AB62" s="1370" t="s">
        <v>3190</v>
      </c>
      <c r="AC62" s="2026">
        <v>27034</v>
      </c>
      <c r="AD62" s="1796">
        <f t="shared" si="13"/>
        <v>1</v>
      </c>
      <c r="AE62" s="2005">
        <f t="shared" ca="1" si="14"/>
        <v>46</v>
      </c>
      <c r="AF62" s="1384">
        <v>40497</v>
      </c>
      <c r="AG62" s="1372" t="s">
        <v>1429</v>
      </c>
      <c r="AH62" s="1230"/>
    </row>
    <row r="63" spans="2:34" ht="18">
      <c r="B63" s="641"/>
      <c r="C63" s="642"/>
      <c r="D63" s="1942" t="s">
        <v>3681</v>
      </c>
      <c r="E63" s="644"/>
      <c r="F63" s="645"/>
      <c r="G63" s="3"/>
      <c r="H63" s="1395"/>
      <c r="I63" s="1439" t="s">
        <v>2417</v>
      </c>
      <c r="J63" s="1426">
        <v>40707</v>
      </c>
      <c r="K63" s="1440">
        <v>13.15</v>
      </c>
      <c r="L63" s="1193"/>
      <c r="N63" s="572">
        <v>640</v>
      </c>
      <c r="O63" s="1813"/>
      <c r="P63" s="1814">
        <f t="shared" ref="P63:P68" si="15">+N63/40</f>
        <v>16</v>
      </c>
      <c r="Q63" s="518"/>
      <c r="R63" s="1815">
        <f>+P63/4</f>
        <v>4</v>
      </c>
      <c r="V63" t="s">
        <v>3682</v>
      </c>
      <c r="Y63" s="1371" t="str">
        <f t="shared" ca="1" si="12"/>
        <v xml:space="preserve"> </v>
      </c>
      <c r="Z63" s="1380">
        <v>4</v>
      </c>
      <c r="AA63" s="1400" t="s">
        <v>3191</v>
      </c>
      <c r="AB63" s="1370" t="s">
        <v>4945</v>
      </c>
      <c r="AC63" s="2026">
        <v>14685</v>
      </c>
      <c r="AD63" s="1796">
        <f t="shared" si="13"/>
        <v>3</v>
      </c>
      <c r="AE63" s="2005">
        <f t="shared" ca="1" si="14"/>
        <v>80</v>
      </c>
      <c r="AF63" s="1384">
        <v>39995</v>
      </c>
      <c r="AG63" s="1372" t="s">
        <v>1429</v>
      </c>
      <c r="AH63" s="1230"/>
    </row>
    <row r="64" spans="2:34" ht="18">
      <c r="B64" s="641"/>
      <c r="C64" s="84" t="s">
        <v>1522</v>
      </c>
      <c r="D64" s="1943">
        <v>21</v>
      </c>
      <c r="E64" s="644"/>
      <c r="F64" s="645"/>
      <c r="G64" s="3"/>
      <c r="H64" s="1395"/>
      <c r="I64" s="1439" t="s">
        <v>2418</v>
      </c>
      <c r="J64" s="1426">
        <v>40707</v>
      </c>
      <c r="K64" s="1440">
        <v>31.3</v>
      </c>
      <c r="L64" s="1193"/>
      <c r="N64" s="573">
        <v>480</v>
      </c>
      <c r="O64" s="1816"/>
      <c r="P64" s="1817">
        <f t="shared" si="15"/>
        <v>12</v>
      </c>
      <c r="Q64" s="204"/>
      <c r="R64" s="1818">
        <f>+P64/4</f>
        <v>3</v>
      </c>
      <c r="V64" t="s">
        <v>3683</v>
      </c>
      <c r="Y64" s="1371" t="str">
        <f t="shared" ca="1" si="12"/>
        <v xml:space="preserve"> </v>
      </c>
      <c r="Z64" s="1380">
        <v>5</v>
      </c>
      <c r="AA64" s="1400" t="s">
        <v>2881</v>
      </c>
      <c r="AB64" s="1370" t="s">
        <v>470</v>
      </c>
      <c r="AC64" s="2026">
        <v>16508</v>
      </c>
      <c r="AD64" s="1796">
        <f t="shared" si="13"/>
        <v>3</v>
      </c>
      <c r="AE64" s="2005">
        <f t="shared" ca="1" si="14"/>
        <v>75</v>
      </c>
      <c r="AF64" s="1384">
        <v>39995</v>
      </c>
      <c r="AG64" s="1372" t="s">
        <v>1429</v>
      </c>
      <c r="AH64" s="1230"/>
    </row>
    <row r="65" spans="2:34" ht="18.75" thickBot="1">
      <c r="B65" s="641"/>
      <c r="C65" s="84" t="s">
        <v>1521</v>
      </c>
      <c r="D65" s="1943">
        <v>29.7</v>
      </c>
      <c r="E65" s="1609">
        <f>+D65/2</f>
        <v>14.85</v>
      </c>
      <c r="F65" s="645"/>
      <c r="G65" s="3"/>
      <c r="H65" s="1395"/>
      <c r="I65" s="1436" t="s">
        <v>2415</v>
      </c>
      <c r="J65" s="1433">
        <v>40707</v>
      </c>
      <c r="K65" s="1437">
        <v>4</v>
      </c>
      <c r="L65" s="1193"/>
      <c r="N65" s="572">
        <v>800</v>
      </c>
      <c r="O65" s="1813"/>
      <c r="P65" s="1814">
        <f t="shared" si="15"/>
        <v>20</v>
      </c>
      <c r="Q65" s="518"/>
      <c r="R65" s="1815">
        <f>+P65/5</f>
        <v>4</v>
      </c>
      <c r="V65" t="s">
        <v>3684</v>
      </c>
      <c r="Y65" s="1371" t="str">
        <f t="shared" ca="1" si="12"/>
        <v xml:space="preserve"> </v>
      </c>
      <c r="Z65" s="1380">
        <v>6</v>
      </c>
      <c r="AA65" s="1400" t="s">
        <v>4948</v>
      </c>
      <c r="AB65" s="1370" t="s">
        <v>1211</v>
      </c>
      <c r="AC65" s="2026">
        <v>27475</v>
      </c>
      <c r="AD65" s="1796">
        <f t="shared" si="13"/>
        <v>3</v>
      </c>
      <c r="AE65" s="2005">
        <f t="shared" ca="1" si="14"/>
        <v>45</v>
      </c>
      <c r="AF65" s="1384">
        <v>40042</v>
      </c>
      <c r="AG65" s="1372" t="s">
        <v>1429</v>
      </c>
      <c r="AH65" s="1230"/>
    </row>
    <row r="66" spans="2:34" ht="18">
      <c r="B66" s="641"/>
      <c r="C66" s="642"/>
      <c r="D66" s="643"/>
      <c r="E66" s="644"/>
      <c r="F66" s="645"/>
      <c r="G66" s="3"/>
      <c r="H66" s="1395"/>
      <c r="I66" s="1396"/>
      <c r="J66" s="1397"/>
      <c r="K66" s="1428">
        <f>SUM(K60:K65)</f>
        <v>103.05</v>
      </c>
      <c r="L66" s="1193"/>
      <c r="N66" s="573">
        <v>600</v>
      </c>
      <c r="O66" s="1816"/>
      <c r="P66" s="1817">
        <f t="shared" si="15"/>
        <v>15</v>
      </c>
      <c r="Q66" s="204"/>
      <c r="R66" s="1818">
        <f>+P66/5</f>
        <v>3</v>
      </c>
      <c r="V66" t="s">
        <v>3282</v>
      </c>
      <c r="Y66" s="1371" t="str">
        <f t="shared" ca="1" si="12"/>
        <v xml:space="preserve"> </v>
      </c>
      <c r="Z66" s="1380">
        <v>7</v>
      </c>
      <c r="AA66" s="1400" t="s">
        <v>3843</v>
      </c>
      <c r="AB66" s="1370" t="s">
        <v>1632</v>
      </c>
      <c r="AC66" s="2026">
        <v>28211</v>
      </c>
      <c r="AD66" s="1796">
        <f t="shared" si="13"/>
        <v>3</v>
      </c>
      <c r="AE66" s="2005">
        <f t="shared" ca="1" si="14"/>
        <v>43</v>
      </c>
      <c r="AF66" s="1384">
        <v>40497</v>
      </c>
      <c r="AG66" s="1372" t="s">
        <v>1429</v>
      </c>
      <c r="AH66" s="1230"/>
    </row>
    <row r="67" spans="2:34" ht="18">
      <c r="B67" s="641"/>
      <c r="C67" s="642"/>
      <c r="D67" s="643"/>
      <c r="E67" s="644"/>
      <c r="F67" s="645"/>
      <c r="G67" s="3"/>
      <c r="H67" s="1395"/>
      <c r="I67" s="1441" t="s">
        <v>752</v>
      </c>
      <c r="J67" s="1442"/>
      <c r="K67" s="1443">
        <f>+K59-K66</f>
        <v>46.95</v>
      </c>
      <c r="L67" s="1193"/>
      <c r="N67" s="572">
        <v>960</v>
      </c>
      <c r="O67" s="1813"/>
      <c r="P67" s="1814">
        <f t="shared" si="15"/>
        <v>24</v>
      </c>
      <c r="Q67" s="518"/>
      <c r="R67" s="1815">
        <f>+P67/6</f>
        <v>4</v>
      </c>
      <c r="Y67" s="1371" t="str">
        <f t="shared" ca="1" si="12"/>
        <v xml:space="preserve"> </v>
      </c>
      <c r="Z67" s="1380">
        <v>8</v>
      </c>
      <c r="AA67" s="1400" t="s">
        <v>1101</v>
      </c>
      <c r="AB67" s="1370" t="s">
        <v>1925</v>
      </c>
      <c r="AC67" s="2026">
        <v>20950</v>
      </c>
      <c r="AD67" s="1796">
        <f t="shared" si="13"/>
        <v>5</v>
      </c>
      <c r="AE67" s="2005">
        <f t="shared" ca="1" si="14"/>
        <v>62</v>
      </c>
      <c r="AF67" s="1384">
        <v>40497</v>
      </c>
      <c r="AG67" s="1372" t="s">
        <v>1429</v>
      </c>
      <c r="AH67" s="1230"/>
    </row>
    <row r="68" spans="2:34" ht="18">
      <c r="B68" s="641"/>
      <c r="C68" s="642"/>
      <c r="D68" s="643"/>
      <c r="E68" s="644"/>
      <c r="F68" s="645"/>
      <c r="G68" s="645"/>
      <c r="H68" s="645"/>
      <c r="I68" s="645"/>
      <c r="J68" s="645"/>
      <c r="K68" s="645"/>
      <c r="L68" s="1193"/>
      <c r="N68" s="573">
        <v>720</v>
      </c>
      <c r="O68" s="1816"/>
      <c r="P68" s="1817">
        <f t="shared" si="15"/>
        <v>18</v>
      </c>
      <c r="Q68" s="204"/>
      <c r="R68" s="1818">
        <f>+P68/6</f>
        <v>3</v>
      </c>
      <c r="Y68" s="1371" t="str">
        <f t="shared" ca="1" si="12"/>
        <v xml:space="preserve"> </v>
      </c>
      <c r="Z68" s="1380">
        <v>9</v>
      </c>
      <c r="AA68" s="1400" t="s">
        <v>627</v>
      </c>
      <c r="AB68" s="1370" t="s">
        <v>2695</v>
      </c>
      <c r="AC68" s="2026">
        <v>26808</v>
      </c>
      <c r="AD68" s="1796">
        <f t="shared" si="13"/>
        <v>5</v>
      </c>
      <c r="AE68" s="2005">
        <f t="shared" ca="1" si="14"/>
        <v>46</v>
      </c>
      <c r="AF68" s="1384">
        <v>39995</v>
      </c>
      <c r="AG68" s="1372" t="s">
        <v>1429</v>
      </c>
      <c r="AH68" s="1230"/>
    </row>
    <row r="69" spans="2:34">
      <c r="E69" s="4" t="s">
        <v>1565</v>
      </c>
      <c r="I69" s="13" t="s">
        <v>642</v>
      </c>
      <c r="L69" s="1193"/>
      <c r="P69" s="1691"/>
      <c r="Y69" s="1371" t="str">
        <f t="shared" ca="1" si="12"/>
        <v xml:space="preserve"> </v>
      </c>
      <c r="Z69" s="1380">
        <v>10</v>
      </c>
      <c r="AA69" s="1400" t="s">
        <v>4184</v>
      </c>
      <c r="AB69" s="1370" t="s">
        <v>2880</v>
      </c>
      <c r="AC69" s="2026">
        <v>17372</v>
      </c>
      <c r="AD69" s="1796">
        <f t="shared" si="13"/>
        <v>7</v>
      </c>
      <c r="AE69" s="2005">
        <f t="shared" ca="1" si="14"/>
        <v>72</v>
      </c>
      <c r="AF69" s="1384">
        <v>40575</v>
      </c>
      <c r="AG69" s="1372" t="s">
        <v>1429</v>
      </c>
      <c r="AH69" s="1230"/>
    </row>
    <row r="70" spans="2:34" ht="18">
      <c r="D70" s="1345" t="s">
        <v>640</v>
      </c>
      <c r="H70" t="s">
        <v>4799</v>
      </c>
      <c r="J70" s="17">
        <v>150</v>
      </c>
      <c r="L70" s="1193"/>
      <c r="Y70" s="1371" t="str">
        <f t="shared" ca="1" si="12"/>
        <v xml:space="preserve"> </v>
      </c>
      <c r="Z70" s="1380">
        <v>11</v>
      </c>
      <c r="AA70" s="1400" t="s">
        <v>1321</v>
      </c>
      <c r="AB70" s="1370" t="s">
        <v>1704</v>
      </c>
      <c r="AC70" s="2026">
        <v>18105</v>
      </c>
      <c r="AD70" s="1796">
        <f t="shared" si="13"/>
        <v>7</v>
      </c>
      <c r="AE70" s="2005">
        <f t="shared" ca="1" si="14"/>
        <v>70</v>
      </c>
      <c r="AF70" s="1384">
        <v>39995</v>
      </c>
      <c r="AG70" s="1372" t="s">
        <v>1429</v>
      </c>
      <c r="AH70" s="1230"/>
    </row>
    <row r="71" spans="2:34" ht="18">
      <c r="D71" s="504" t="s">
        <v>4003</v>
      </c>
      <c r="J71" s="17">
        <v>60</v>
      </c>
      <c r="O71" s="1200" t="s">
        <v>336</v>
      </c>
      <c r="P71" s="8">
        <v>750</v>
      </c>
      <c r="R71" s="13">
        <f>+P71*P74/100</f>
        <v>187.5</v>
      </c>
      <c r="S71">
        <v>0.87</v>
      </c>
      <c r="Y71" s="1371" t="str">
        <f t="shared" ca="1" si="12"/>
        <v xml:space="preserve"> </v>
      </c>
      <c r="Z71" s="1380">
        <v>12</v>
      </c>
      <c r="AA71" s="1400" t="s">
        <v>3844</v>
      </c>
      <c r="AB71" s="1370" t="s">
        <v>26</v>
      </c>
      <c r="AC71" s="2026">
        <v>19553</v>
      </c>
      <c r="AD71" s="1796">
        <f t="shared" si="13"/>
        <v>7</v>
      </c>
      <c r="AE71" s="2005">
        <f t="shared" ca="1" si="14"/>
        <v>66</v>
      </c>
      <c r="AF71" s="1384">
        <v>39995</v>
      </c>
      <c r="AG71" s="1372" t="s">
        <v>1429</v>
      </c>
      <c r="AH71" s="1230"/>
    </row>
    <row r="72" spans="2:34" ht="18">
      <c r="D72" s="1345" t="s">
        <v>4002</v>
      </c>
      <c r="J72" s="17">
        <v>70</v>
      </c>
      <c r="O72" s="1200" t="s">
        <v>5011</v>
      </c>
      <c r="P72" s="8">
        <f>+P71*0.87</f>
        <v>652.5</v>
      </c>
      <c r="R72" s="13">
        <f>+R71/2</f>
        <v>93.75</v>
      </c>
      <c r="S72">
        <v>0.13</v>
      </c>
      <c r="Y72" s="1371" t="str">
        <f t="shared" ca="1" si="12"/>
        <v xml:space="preserve"> </v>
      </c>
      <c r="Z72" s="1380">
        <v>13</v>
      </c>
      <c r="AA72" s="1400" t="s">
        <v>1926</v>
      </c>
      <c r="AB72" s="1370" t="s">
        <v>1553</v>
      </c>
      <c r="AC72" s="2026">
        <v>29432</v>
      </c>
      <c r="AD72" s="1796">
        <f t="shared" si="13"/>
        <v>7</v>
      </c>
      <c r="AE72" s="2005">
        <f t="shared" ca="1" si="14"/>
        <v>39</v>
      </c>
      <c r="AF72" s="1384">
        <v>39995</v>
      </c>
      <c r="AG72" s="1372" t="s">
        <v>1429</v>
      </c>
      <c r="AH72" s="1230"/>
    </row>
    <row r="73" spans="2:34" ht="18">
      <c r="D73" s="1345" t="s">
        <v>1220</v>
      </c>
      <c r="J73" s="17">
        <v>100</v>
      </c>
      <c r="O73" s="1200" t="s">
        <v>5012</v>
      </c>
      <c r="P73" s="8">
        <f>+P72/2</f>
        <v>326.25</v>
      </c>
      <c r="R73" s="1856"/>
      <c r="S73">
        <f>+S72/2</f>
        <v>6.5000000000000002E-2</v>
      </c>
      <c r="Y73" s="1371" t="str">
        <f t="shared" ca="1" si="12"/>
        <v xml:space="preserve"> </v>
      </c>
      <c r="Z73" s="1380">
        <v>14</v>
      </c>
      <c r="AA73" s="1400" t="s">
        <v>1597</v>
      </c>
      <c r="AB73" s="1370" t="s">
        <v>1703</v>
      </c>
      <c r="AC73" s="2026">
        <v>29818</v>
      </c>
      <c r="AD73" s="1796">
        <f t="shared" si="13"/>
        <v>8</v>
      </c>
      <c r="AE73" s="2005">
        <f t="shared" ca="1" si="14"/>
        <v>38</v>
      </c>
      <c r="AF73" s="1384">
        <v>40497</v>
      </c>
      <c r="AG73" s="1372" t="s">
        <v>1429</v>
      </c>
      <c r="AH73" s="1230"/>
    </row>
    <row r="74" spans="2:34" ht="18">
      <c r="F74" s="1346" t="s">
        <v>641</v>
      </c>
      <c r="J74" s="1347">
        <f>SUM(J70:J73)</f>
        <v>380</v>
      </c>
      <c r="N74" s="76"/>
      <c r="O74" s="1199" t="s">
        <v>3369</v>
      </c>
      <c r="P74" s="1081">
        <v>25</v>
      </c>
      <c r="Q74" s="93"/>
      <c r="R74" s="1857">
        <f>+P74+6.5</f>
        <v>31.5</v>
      </c>
      <c r="S74" s="934">
        <f>+S71+S73</f>
        <v>0.93500000000000005</v>
      </c>
      <c r="T74" s="934"/>
      <c r="U74" s="1094" t="e">
        <f>+#REF!/1.6</f>
        <v>#REF!</v>
      </c>
      <c r="V74" s="1091" t="s">
        <v>4667</v>
      </c>
      <c r="Y74" s="1371" t="str">
        <f t="shared" ca="1" si="12"/>
        <v xml:space="preserve"> </v>
      </c>
      <c r="Z74" s="1380">
        <v>15</v>
      </c>
      <c r="AA74" s="1400" t="s">
        <v>1430</v>
      </c>
      <c r="AB74" s="1370" t="s">
        <v>1224</v>
      </c>
      <c r="AC74" s="2026">
        <v>27680</v>
      </c>
      <c r="AD74" s="1796">
        <f t="shared" si="13"/>
        <v>10</v>
      </c>
      <c r="AE74" s="2005">
        <f t="shared" ca="1" si="14"/>
        <v>44</v>
      </c>
      <c r="AF74" s="1384">
        <v>39995</v>
      </c>
      <c r="AG74" s="1372" t="s">
        <v>1429</v>
      </c>
      <c r="AH74" s="1230"/>
    </row>
    <row r="75" spans="2:34" ht="18">
      <c r="F75" s="1346"/>
      <c r="J75" s="1348"/>
      <c r="N75" s="76"/>
      <c r="O75" s="1199"/>
      <c r="P75" s="8">
        <f>+P73-R72</f>
        <v>232.5</v>
      </c>
      <c r="Q75" s="93"/>
      <c r="R75" s="1857"/>
      <c r="S75" s="934"/>
      <c r="T75" s="934"/>
      <c r="Y75" s="1371" t="str">
        <f t="shared" ca="1" si="12"/>
        <v xml:space="preserve"> </v>
      </c>
      <c r="Z75" s="1380">
        <v>16</v>
      </c>
      <c r="AA75" s="1400" t="s">
        <v>2915</v>
      </c>
      <c r="AB75" s="1370" t="s">
        <v>4614</v>
      </c>
      <c r="AC75" s="2026">
        <v>22966</v>
      </c>
      <c r="AD75" s="1796">
        <f t="shared" si="13"/>
        <v>11</v>
      </c>
      <c r="AE75" s="2005">
        <f t="shared" ca="1" si="14"/>
        <v>57</v>
      </c>
      <c r="AF75" s="1384">
        <v>39909</v>
      </c>
      <c r="AG75" s="1372" t="s">
        <v>1429</v>
      </c>
      <c r="AH75" s="1230"/>
    </row>
    <row r="76" spans="2:34" ht="18">
      <c r="F76" s="1346"/>
      <c r="J76" s="1348"/>
      <c r="N76" s="76"/>
      <c r="O76" s="1199"/>
      <c r="P76" s="1524">
        <f>+P75/P71</f>
        <v>0.31</v>
      </c>
      <c r="Q76" s="93"/>
      <c r="R76" s="1857"/>
      <c r="S76" s="934" t="s">
        <v>1247</v>
      </c>
      <c r="T76" s="934"/>
      <c r="U76">
        <v>301</v>
      </c>
      <c r="Y76" s="1371" t="str">
        <f t="shared" ca="1" si="12"/>
        <v xml:space="preserve"> </v>
      </c>
      <c r="Z76" s="1380">
        <v>17</v>
      </c>
      <c r="AA76" s="1400" t="s">
        <v>1633</v>
      </c>
      <c r="AB76" s="1370" t="s">
        <v>1605</v>
      </c>
      <c r="AC76" s="2026">
        <v>24053</v>
      </c>
      <c r="AD76" s="1796">
        <f t="shared" si="13"/>
        <v>11</v>
      </c>
      <c r="AE76" s="2005">
        <f t="shared" ca="1" si="14"/>
        <v>54</v>
      </c>
      <c r="AF76" s="1384">
        <v>40575</v>
      </c>
      <c r="AG76" s="1372" t="s">
        <v>1429</v>
      </c>
      <c r="AH76" s="1230"/>
    </row>
    <row r="77" spans="2:34" ht="15.75">
      <c r="B77" s="641"/>
      <c r="C77" s="642" t="s">
        <v>2815</v>
      </c>
      <c r="D77" s="643"/>
      <c r="E77" s="1014">
        <v>1200</v>
      </c>
      <c r="F77" s="1015" t="s">
        <v>3859</v>
      </c>
      <c r="G77" s="3"/>
      <c r="H77" s="75"/>
      <c r="I77" s="646"/>
      <c r="J77" s="647"/>
      <c r="K77" s="75"/>
      <c r="L77" s="75"/>
      <c r="N77" s="76"/>
      <c r="O77" s="1199"/>
      <c r="P77" s="8">
        <f>+P75*2</f>
        <v>465</v>
      </c>
      <c r="Q77" s="93"/>
      <c r="R77" s="1857">
        <f>+P72-R71</f>
        <v>465</v>
      </c>
      <c r="S77" s="934">
        <v>1.99</v>
      </c>
      <c r="T77" s="934"/>
      <c r="U77">
        <v>80</v>
      </c>
      <c r="Y77" s="1371" t="str">
        <f t="shared" ca="1" si="12"/>
        <v xml:space="preserve"> </v>
      </c>
      <c r="Z77" s="1380">
        <v>18</v>
      </c>
      <c r="AA77" s="1400" t="s">
        <v>4946</v>
      </c>
      <c r="AB77" s="1370" t="s">
        <v>4947</v>
      </c>
      <c r="AC77" s="2026">
        <v>27357</v>
      </c>
      <c r="AD77" s="1796">
        <f t="shared" si="13"/>
        <v>11</v>
      </c>
      <c r="AE77" s="2005">
        <f t="shared" ca="1" si="14"/>
        <v>45</v>
      </c>
      <c r="AF77" s="1384">
        <v>40162</v>
      </c>
      <c r="AG77" s="1372" t="s">
        <v>1429</v>
      </c>
      <c r="AH77" s="1230"/>
    </row>
    <row r="78" spans="2:34" ht="16.5" thickBot="1">
      <c r="B78" s="641"/>
      <c r="C78" s="1016" t="s">
        <v>896</v>
      </c>
      <c r="D78" s="643"/>
      <c r="E78" s="1014">
        <f>60*10</f>
        <v>600</v>
      </c>
      <c r="F78" s="1015" t="s">
        <v>3004</v>
      </c>
      <c r="G78" s="3"/>
      <c r="H78" s="75"/>
      <c r="I78" s="669" t="s">
        <v>1015</v>
      </c>
      <c r="J78" s="647"/>
      <c r="K78" s="75"/>
      <c r="L78" s="75"/>
      <c r="N78" s="76"/>
      <c r="O78" s="1199"/>
      <c r="Q78" s="93"/>
      <c r="R78" s="648"/>
      <c r="S78" s="934">
        <v>13500</v>
      </c>
      <c r="T78" s="934"/>
      <c r="U78">
        <f>4+15</f>
        <v>19</v>
      </c>
      <c r="Y78" s="1373" t="str">
        <f t="shared" ca="1" si="12"/>
        <v xml:space="preserve"> </v>
      </c>
      <c r="Z78" s="1382">
        <v>19</v>
      </c>
      <c r="AA78" s="1401" t="s">
        <v>18</v>
      </c>
      <c r="AB78" s="1374" t="s">
        <v>4183</v>
      </c>
      <c r="AC78" s="2027">
        <v>21162</v>
      </c>
      <c r="AD78" s="1797">
        <f t="shared" si="13"/>
        <v>12</v>
      </c>
      <c r="AE78" s="2006">
        <f t="shared" ca="1" si="14"/>
        <v>62</v>
      </c>
      <c r="AF78" s="1385">
        <v>39995</v>
      </c>
      <c r="AG78" s="1376" t="s">
        <v>1429</v>
      </c>
      <c r="AH78" s="1230"/>
    </row>
    <row r="79" spans="2:34" ht="15.75">
      <c r="B79" s="641"/>
      <c r="C79" s="642" t="s">
        <v>3711</v>
      </c>
      <c r="D79" s="643"/>
      <c r="E79" s="1014">
        <v>1800</v>
      </c>
      <c r="F79" s="1015" t="s">
        <v>3859</v>
      </c>
      <c r="G79" s="3"/>
      <c r="H79" s="75"/>
      <c r="I79" s="646"/>
      <c r="J79" s="647"/>
      <c r="K79" s="75"/>
      <c r="L79" s="75"/>
      <c r="N79" s="76"/>
      <c r="O79" s="1199"/>
      <c r="Q79" s="93"/>
      <c r="R79" s="648"/>
      <c r="S79" s="934"/>
      <c r="T79" s="934"/>
      <c r="U79">
        <f>SUM(U76:U78)</f>
        <v>400</v>
      </c>
      <c r="Y79" s="1362">
        <f ca="1">SUM(Y60:Y78)</f>
        <v>0</v>
      </c>
      <c r="Z79" s="1377"/>
      <c r="AA79" s="1398"/>
      <c r="AB79" s="1363"/>
      <c r="AC79" s="1367" t="s">
        <v>205</v>
      </c>
      <c r="AD79" s="1367"/>
      <c r="AE79" s="2002"/>
      <c r="AF79" s="1386"/>
      <c r="AG79" s="1364"/>
      <c r="AH79" s="1230"/>
    </row>
    <row r="80" spans="2:34" ht="16.5" thickBot="1">
      <c r="B80" s="641"/>
      <c r="C80" s="1016" t="s">
        <v>896</v>
      </c>
      <c r="D80" s="643"/>
      <c r="E80" s="1014">
        <v>900</v>
      </c>
      <c r="F80" s="1015" t="s">
        <v>3004</v>
      </c>
      <c r="G80" s="3"/>
      <c r="H80" s="75"/>
      <c r="I80" s="669" t="s">
        <v>1582</v>
      </c>
      <c r="J80" s="647"/>
      <c r="K80" s="75"/>
      <c r="L80" s="75"/>
      <c r="N80" s="76"/>
      <c r="O80" s="1199"/>
      <c r="Q80" s="93"/>
      <c r="R80" s="648"/>
      <c r="S80" s="934"/>
      <c r="T80" s="934"/>
      <c r="U80">
        <f>+U79*2.98</f>
        <v>1192</v>
      </c>
      <c r="Y80" s="1365"/>
      <c r="Z80" s="1378"/>
      <c r="AA80" s="1402"/>
      <c r="AB80" s="1369" t="s">
        <v>222</v>
      </c>
      <c r="AC80" s="1381">
        <v>1</v>
      </c>
      <c r="AD80" s="1381"/>
      <c r="AE80" s="2003"/>
      <c r="AF80" s="1368" t="str">
        <f ca="1">IF(Y79=1,DGET(Y59:AG78,AB59,AC79:AC80),IF(Y79=0," ",CONCATENATE("Hay ",Y79," Cumpleaños")))</f>
        <v xml:space="preserve"> </v>
      </c>
      <c r="AG80" s="1366"/>
      <c r="AH80" s="1230"/>
    </row>
    <row r="81" spans="2:36" ht="18.75" thickBot="1">
      <c r="B81" s="641"/>
      <c r="C81" s="1016" t="s">
        <v>2962</v>
      </c>
      <c r="D81" s="643"/>
      <c r="E81" s="1018" t="s">
        <v>2483</v>
      </c>
      <c r="F81" s="645"/>
      <c r="G81" s="3"/>
      <c r="H81" s="75"/>
      <c r="I81" s="646"/>
      <c r="J81" s="647"/>
      <c r="K81" s="75"/>
      <c r="L81" s="75"/>
      <c r="N81" s="76"/>
      <c r="O81" s="1199"/>
      <c r="P81" s="76"/>
      <c r="Q81" s="93"/>
      <c r="R81" s="648"/>
      <c r="S81" s="934"/>
      <c r="T81" s="934"/>
      <c r="AA81" s="1398"/>
      <c r="AC81" s="1355"/>
      <c r="AD81" s="1355"/>
      <c r="AE81" s="2008"/>
      <c r="AH81" s="1230"/>
    </row>
    <row r="82" spans="2:36" ht="15.75">
      <c r="B82" s="641"/>
      <c r="C82" s="1017" t="s">
        <v>2336</v>
      </c>
      <c r="D82" s="643"/>
      <c r="E82" s="1014">
        <v>2000</v>
      </c>
      <c r="F82" s="1015" t="s">
        <v>3859</v>
      </c>
      <c r="G82" s="3"/>
      <c r="H82" s="75"/>
      <c r="I82" s="646"/>
      <c r="J82" s="647"/>
      <c r="K82" s="75"/>
      <c r="L82" s="75"/>
      <c r="N82" s="76"/>
      <c r="O82" s="1199"/>
      <c r="P82" s="78">
        <v>4126</v>
      </c>
      <c r="Q82" s="93"/>
      <c r="R82" s="648"/>
      <c r="S82" s="78">
        <v>1590</v>
      </c>
      <c r="T82" s="78"/>
      <c r="Y82" s="1358" t="s">
        <v>205</v>
      </c>
      <c r="Z82" s="1379" t="s">
        <v>589</v>
      </c>
      <c r="AA82" s="1399" t="s">
        <v>27</v>
      </c>
      <c r="AB82" s="1359" t="s">
        <v>3634</v>
      </c>
      <c r="AC82" s="1360" t="s">
        <v>2398</v>
      </c>
      <c r="AD82" s="1360" t="s">
        <v>4593</v>
      </c>
      <c r="AE82" s="1999" t="s">
        <v>1584</v>
      </c>
      <c r="AF82" s="1383" t="s">
        <v>1958</v>
      </c>
      <c r="AG82" s="1361" t="s">
        <v>756</v>
      </c>
      <c r="AH82" s="1230"/>
    </row>
    <row r="83" spans="2:36" ht="15.75">
      <c r="B83" s="641"/>
      <c r="C83" s="1017"/>
      <c r="D83" s="643"/>
      <c r="E83" s="1014"/>
      <c r="F83" s="1015"/>
      <c r="G83" s="3"/>
      <c r="H83" s="75"/>
      <c r="I83" s="646"/>
      <c r="J83" s="647"/>
      <c r="K83" s="75"/>
      <c r="L83" s="75"/>
      <c r="N83" s="76"/>
      <c r="O83" s="1199"/>
      <c r="P83" s="76"/>
      <c r="Q83" s="93"/>
      <c r="R83" s="648"/>
      <c r="S83" s="78">
        <v>830</v>
      </c>
      <c r="T83" s="78"/>
      <c r="Y83" s="1371" t="str">
        <f t="shared" ref="Y83:Y92" ca="1" si="16">IF(AND(MONTH($B$1)=MONTH(AC83),DAY($B$1)=DAY(AC83)),1, " ")</f>
        <v xml:space="preserve"> </v>
      </c>
      <c r="Z83" s="1380">
        <v>1</v>
      </c>
      <c r="AA83" s="1400" t="s">
        <v>1838</v>
      </c>
      <c r="AB83" s="1370" t="s">
        <v>1839</v>
      </c>
      <c r="AC83" s="2026">
        <v>23749</v>
      </c>
      <c r="AD83" s="1796">
        <f t="shared" ref="AD83:AD92" si="17">MONTH(AC83)</f>
        <v>1</v>
      </c>
      <c r="AE83" s="2005">
        <f t="shared" ref="AE83:AE92" ca="1" si="18">IF(MONTH(TODAY())&lt;MONTH(AC83),YEAR(TODAY())-YEAR(AC83)-1,IF(MONTH(TODAY())=MONTH(AC83),IF(DAY(TODAY())&lt;DAY(AC83),YEAR(TODAY())-YEAR(AC83),YEAR(TODAY())-YEAR(AC83)-1),YEAR(TODAY())-YEAR(AC83)))</f>
        <v>55</v>
      </c>
      <c r="AF83" s="1384">
        <v>38961</v>
      </c>
      <c r="AG83" s="1372" t="s">
        <v>2354</v>
      </c>
      <c r="AH83" s="1230"/>
    </row>
    <row r="84" spans="2:36" ht="15.75">
      <c r="B84" s="641"/>
      <c r="C84" s="1017"/>
      <c r="D84" s="643"/>
      <c r="E84" s="1014"/>
      <c r="F84" s="1015"/>
      <c r="G84" s="3"/>
      <c r="H84" s="75"/>
      <c r="I84" s="646"/>
      <c r="J84" s="647"/>
      <c r="K84" s="75"/>
      <c r="L84" s="75"/>
      <c r="N84" s="76"/>
      <c r="O84" s="1199" t="s">
        <v>336</v>
      </c>
      <c r="P84" s="1239">
        <v>5.78</v>
      </c>
      <c r="Q84" s="93"/>
      <c r="R84" s="1042">
        <f>+P84+P85</f>
        <v>11.260000000000002</v>
      </c>
      <c r="S84" s="78">
        <v>1560</v>
      </c>
      <c r="T84" s="78"/>
      <c r="Y84" s="1371" t="str">
        <f t="shared" ca="1" si="16"/>
        <v xml:space="preserve"> </v>
      </c>
      <c r="Z84" s="1380">
        <v>2</v>
      </c>
      <c r="AA84" s="1400" t="s">
        <v>616</v>
      </c>
      <c r="AB84" s="1370" t="s">
        <v>617</v>
      </c>
      <c r="AC84" s="2026">
        <v>33648</v>
      </c>
      <c r="AD84" s="1796">
        <f t="shared" si="17"/>
        <v>2</v>
      </c>
      <c r="AE84" s="2005">
        <f t="shared" ca="1" si="18"/>
        <v>28</v>
      </c>
      <c r="AF84" s="1384">
        <v>40514</v>
      </c>
      <c r="AG84" s="1372" t="s">
        <v>1309</v>
      </c>
      <c r="AH84" s="1230"/>
    </row>
    <row r="85" spans="2:36" ht="14.25" customHeight="1">
      <c r="B85" s="641"/>
      <c r="C85" s="877" t="s">
        <v>188</v>
      </c>
      <c r="D85" s="643"/>
      <c r="E85" s="644"/>
      <c r="F85" s="645"/>
      <c r="G85" s="3"/>
      <c r="H85" s="75"/>
      <c r="I85" s="646"/>
      <c r="J85" s="647"/>
      <c r="K85" s="75"/>
      <c r="L85" s="75"/>
      <c r="N85" s="76"/>
      <c r="O85" s="1199" t="s">
        <v>337</v>
      </c>
      <c r="P85" s="1239">
        <v>5.48</v>
      </c>
      <c r="Q85" s="93"/>
      <c r="R85" s="648"/>
      <c r="S85" s="78"/>
      <c r="T85" s="78"/>
      <c r="Y85" s="1371" t="str">
        <f t="shared" ca="1" si="16"/>
        <v xml:space="preserve"> </v>
      </c>
      <c r="Z85" s="1380">
        <v>3</v>
      </c>
      <c r="AA85" s="1400" t="s">
        <v>1561</v>
      </c>
      <c r="AB85" s="1370" t="s">
        <v>781</v>
      </c>
      <c r="AC85" s="2026">
        <v>32322</v>
      </c>
      <c r="AD85" s="1796">
        <f t="shared" si="17"/>
        <v>6</v>
      </c>
      <c r="AE85" s="2005">
        <f t="shared" ca="1" si="18"/>
        <v>31</v>
      </c>
      <c r="AF85" s="1384">
        <v>40577</v>
      </c>
      <c r="AG85" s="1372" t="s">
        <v>782</v>
      </c>
      <c r="AH85" s="1230"/>
    </row>
    <row r="86" spans="2:36" ht="14.25" customHeight="1">
      <c r="B86" s="641"/>
      <c r="C86" s="642"/>
      <c r="D86" s="643"/>
      <c r="E86" s="644"/>
      <c r="F86" s="893">
        <v>39833</v>
      </c>
      <c r="G86" s="3"/>
      <c r="H86" s="75"/>
      <c r="I86" s="3851" t="s">
        <v>2320</v>
      </c>
      <c r="J86" s="3852"/>
      <c r="K86" s="3853"/>
      <c r="L86" s="75"/>
      <c r="N86" s="76"/>
      <c r="O86" s="1199" t="s">
        <v>338</v>
      </c>
      <c r="P86" s="1239">
        <v>7.4</v>
      </c>
      <c r="Q86" s="93"/>
      <c r="R86" s="648"/>
      <c r="S86" s="78"/>
      <c r="T86" s="78"/>
      <c r="Y86" s="1371" t="str">
        <f t="shared" ca="1" si="16"/>
        <v xml:space="preserve"> </v>
      </c>
      <c r="Z86" s="1380">
        <v>4</v>
      </c>
      <c r="AA86" s="1400" t="s">
        <v>431</v>
      </c>
      <c r="AB86" s="1370" t="s">
        <v>615</v>
      </c>
      <c r="AC86" s="2026">
        <v>33412</v>
      </c>
      <c r="AD86" s="1796">
        <f t="shared" si="17"/>
        <v>6</v>
      </c>
      <c r="AE86" s="2005">
        <f t="shared" ca="1" si="18"/>
        <v>28</v>
      </c>
      <c r="AF86" s="1384">
        <v>40395</v>
      </c>
      <c r="AG86" s="1372" t="s">
        <v>1309</v>
      </c>
      <c r="AH86" s="1230"/>
    </row>
    <row r="87" spans="2:36" ht="14.25" customHeight="1">
      <c r="B87" s="641"/>
      <c r="C87" s="642" t="s">
        <v>4686</v>
      </c>
      <c r="D87" s="878" t="s">
        <v>580</v>
      </c>
      <c r="E87" s="644"/>
      <c r="F87" s="645"/>
      <c r="G87" s="3"/>
      <c r="H87" s="75"/>
      <c r="I87" s="877" t="s">
        <v>3083</v>
      </c>
      <c r="J87" s="647"/>
      <c r="K87" s="75" t="s">
        <v>4136</v>
      </c>
      <c r="L87" s="75"/>
      <c r="N87" s="76"/>
      <c r="O87" s="1199" t="s">
        <v>339</v>
      </c>
      <c r="P87" s="1239">
        <v>7.4</v>
      </c>
      <c r="Q87" s="93"/>
      <c r="R87" s="648"/>
      <c r="S87" s="78">
        <f>SUM(S82:S86)</f>
        <v>3980</v>
      </c>
      <c r="T87" s="78"/>
      <c r="Y87" s="1371" t="str">
        <f t="shared" ca="1" si="16"/>
        <v xml:space="preserve"> </v>
      </c>
      <c r="Z87" s="1380">
        <v>5</v>
      </c>
      <c r="AA87" s="1400" t="s">
        <v>2512</v>
      </c>
      <c r="AB87" s="1370" t="s">
        <v>1308</v>
      </c>
      <c r="AC87" s="2026">
        <v>31608</v>
      </c>
      <c r="AD87" s="1796">
        <f t="shared" si="17"/>
        <v>7</v>
      </c>
      <c r="AE87" s="2005">
        <f t="shared" ca="1" si="18"/>
        <v>33</v>
      </c>
      <c r="AF87" s="1384">
        <v>40241</v>
      </c>
      <c r="AG87" s="1372" t="s">
        <v>1309</v>
      </c>
      <c r="AH87" s="1230"/>
    </row>
    <row r="88" spans="2:36" ht="14.25" customHeight="1">
      <c r="B88" s="641"/>
      <c r="C88" s="880" t="s">
        <v>4687</v>
      </c>
      <c r="D88" s="878" t="s">
        <v>2649</v>
      </c>
      <c r="E88" s="644"/>
      <c r="F88" s="645"/>
      <c r="G88" s="3"/>
      <c r="H88" s="75"/>
      <c r="I88" s="669" t="s">
        <v>4135</v>
      </c>
      <c r="J88" s="647"/>
      <c r="K88" s="75"/>
      <c r="L88" s="75"/>
      <c r="N88" s="76"/>
      <c r="O88" s="1199"/>
      <c r="P88" s="76"/>
      <c r="Q88" s="93"/>
      <c r="R88" s="648"/>
      <c r="S88" s="78">
        <f>+P82-S87</f>
        <v>146</v>
      </c>
      <c r="T88" s="78"/>
      <c r="Y88" s="1371" t="str">
        <f t="shared" ca="1" si="16"/>
        <v xml:space="preserve"> </v>
      </c>
      <c r="Z88" s="1380">
        <v>6</v>
      </c>
      <c r="AA88" s="1400" t="s">
        <v>4803</v>
      </c>
      <c r="AB88" s="1370" t="s">
        <v>430</v>
      </c>
      <c r="AC88" s="2026">
        <v>32335</v>
      </c>
      <c r="AD88" s="1796">
        <f t="shared" si="17"/>
        <v>7</v>
      </c>
      <c r="AE88" s="2005">
        <f t="shared" ca="1" si="18"/>
        <v>31</v>
      </c>
      <c r="AF88" s="1384">
        <v>40332</v>
      </c>
      <c r="AG88" s="1372" t="s">
        <v>2057</v>
      </c>
      <c r="AH88" s="1230"/>
    </row>
    <row r="89" spans="2:36" ht="14.25" customHeight="1">
      <c r="B89" s="641"/>
      <c r="C89" s="880" t="s">
        <v>974</v>
      </c>
      <c r="D89" s="878" t="s">
        <v>543</v>
      </c>
      <c r="E89" s="644"/>
      <c r="F89" s="645"/>
      <c r="G89" s="3"/>
      <c r="H89" s="75"/>
      <c r="I89" s="1182" t="s">
        <v>633</v>
      </c>
      <c r="J89" s="647"/>
      <c r="K89" s="76">
        <v>1800</v>
      </c>
      <c r="L89" s="75"/>
      <c r="N89" s="76"/>
      <c r="O89" s="1199"/>
      <c r="P89" s="76"/>
      <c r="Q89" s="93"/>
      <c r="R89" s="648"/>
      <c r="S89" s="937">
        <v>39909</v>
      </c>
      <c r="T89" s="937"/>
      <c r="U89" t="s">
        <v>2048</v>
      </c>
      <c r="Y89" s="1371" t="str">
        <f t="shared" ca="1" si="16"/>
        <v xml:space="preserve"> </v>
      </c>
      <c r="Z89" s="1380">
        <v>7</v>
      </c>
      <c r="AA89" s="1400" t="s">
        <v>3648</v>
      </c>
      <c r="AB89" s="1370" t="s">
        <v>3649</v>
      </c>
      <c r="AC89" s="2026">
        <v>27262</v>
      </c>
      <c r="AD89" s="1796">
        <f t="shared" si="17"/>
        <v>8</v>
      </c>
      <c r="AE89" s="2005">
        <f t="shared" ca="1" si="18"/>
        <v>45</v>
      </c>
      <c r="AF89" s="1384">
        <v>39163</v>
      </c>
      <c r="AG89" s="1372" t="s">
        <v>3545</v>
      </c>
      <c r="AH89" s="1230"/>
    </row>
    <row r="90" spans="2:36" ht="14.25" customHeight="1">
      <c r="B90" s="641"/>
      <c r="C90" s="880" t="s">
        <v>974</v>
      </c>
      <c r="D90" s="878" t="s">
        <v>1453</v>
      </c>
      <c r="E90" s="881"/>
      <c r="F90" s="882"/>
      <c r="G90" s="883"/>
      <c r="H90" s="75"/>
      <c r="I90" s="1183" t="s">
        <v>596</v>
      </c>
      <c r="J90" s="647"/>
      <c r="K90" s="75"/>
      <c r="L90" s="75"/>
      <c r="N90" s="76"/>
      <c r="O90" s="1199"/>
      <c r="P90" s="76"/>
      <c r="Q90" s="93"/>
      <c r="R90" s="648"/>
      <c r="S90" s="78">
        <v>7.5</v>
      </c>
      <c r="T90" s="78"/>
      <c r="U90" s="90">
        <f>2*S90</f>
        <v>15</v>
      </c>
      <c r="V90" t="s">
        <v>3698</v>
      </c>
      <c r="Y90" s="1371" t="str">
        <f t="shared" ca="1" si="16"/>
        <v xml:space="preserve"> </v>
      </c>
      <c r="Z90" s="1380">
        <v>8</v>
      </c>
      <c r="AA90" s="1400" t="s">
        <v>1366</v>
      </c>
      <c r="AB90" s="1370" t="s">
        <v>2056</v>
      </c>
      <c r="AC90" s="2026">
        <v>24386</v>
      </c>
      <c r="AD90" s="1796">
        <f t="shared" si="17"/>
        <v>10</v>
      </c>
      <c r="AE90" s="2005">
        <f t="shared" ca="1" si="18"/>
        <v>53</v>
      </c>
      <c r="AF90" s="1384">
        <v>38869</v>
      </c>
      <c r="AG90" s="1372" t="s">
        <v>2057</v>
      </c>
      <c r="AH90" s="1231"/>
      <c r="AJ90" s="1353"/>
    </row>
    <row r="91" spans="2:36" ht="14.25" customHeight="1">
      <c r="B91" s="641"/>
      <c r="C91" s="880" t="s">
        <v>4641</v>
      </c>
      <c r="D91" s="885" t="s">
        <v>4766</v>
      </c>
      <c r="E91" s="884"/>
      <c r="F91" s="882"/>
      <c r="G91" s="883"/>
      <c r="H91" s="75"/>
      <c r="I91" s="646"/>
      <c r="J91" s="647"/>
      <c r="K91" s="75"/>
      <c r="L91" s="75"/>
      <c r="N91" s="76"/>
      <c r="O91" s="1199"/>
      <c r="P91" s="76"/>
      <c r="Q91" s="93"/>
      <c r="R91" s="648"/>
      <c r="S91" s="78">
        <v>5</v>
      </c>
      <c r="T91" s="78"/>
      <c r="U91" s="90">
        <v>10</v>
      </c>
      <c r="V91" t="s">
        <v>3697</v>
      </c>
      <c r="Y91" s="1371" t="str">
        <f t="shared" ca="1" si="16"/>
        <v xml:space="preserve"> </v>
      </c>
      <c r="Z91" s="1380">
        <v>9</v>
      </c>
      <c r="AA91" s="1400" t="s">
        <v>4417</v>
      </c>
      <c r="AB91" s="1370" t="s">
        <v>3646</v>
      </c>
      <c r="AC91" s="2026">
        <v>24428</v>
      </c>
      <c r="AD91" s="1796">
        <f t="shared" si="17"/>
        <v>11</v>
      </c>
      <c r="AE91" s="2005">
        <f t="shared" ca="1" si="18"/>
        <v>53</v>
      </c>
      <c r="AF91" s="1384">
        <v>38869</v>
      </c>
      <c r="AG91" s="1372" t="s">
        <v>3647</v>
      </c>
    </row>
    <row r="92" spans="2:36" ht="14.25" customHeight="1" thickBot="1">
      <c r="B92" s="641"/>
      <c r="C92" s="880" t="s">
        <v>4767</v>
      </c>
      <c r="D92" s="885" t="s">
        <v>3978</v>
      </c>
      <c r="E92" s="884"/>
      <c r="F92" s="882"/>
      <c r="G92" s="883"/>
      <c r="H92" s="75"/>
      <c r="I92" s="877" t="s">
        <v>4137</v>
      </c>
      <c r="J92" s="647"/>
      <c r="K92" s="75"/>
      <c r="L92" s="75"/>
      <c r="N92" s="76"/>
      <c r="O92" s="1199"/>
      <c r="P92" s="76"/>
      <c r="Q92" s="93"/>
      <c r="R92" s="648"/>
      <c r="S92" s="78">
        <v>5</v>
      </c>
      <c r="T92" s="78"/>
      <c r="U92" s="90">
        <v>5</v>
      </c>
      <c r="V92" t="s">
        <v>3695</v>
      </c>
      <c r="Y92" s="1373" t="str">
        <f t="shared" ca="1" si="16"/>
        <v xml:space="preserve"> </v>
      </c>
      <c r="Z92" s="1382">
        <v>10</v>
      </c>
      <c r="AA92" s="1401" t="s">
        <v>3546</v>
      </c>
      <c r="AB92" s="1374" t="s">
        <v>2645</v>
      </c>
      <c r="AC92" s="2027">
        <v>28487</v>
      </c>
      <c r="AD92" s="1797">
        <f t="shared" si="17"/>
        <v>12</v>
      </c>
      <c r="AE92" s="2006">
        <f t="shared" ca="1" si="18"/>
        <v>42</v>
      </c>
      <c r="AF92" s="1385">
        <v>38365</v>
      </c>
      <c r="AG92" s="1376" t="s">
        <v>2057</v>
      </c>
    </row>
    <row r="93" spans="2:36" ht="14.25" customHeight="1">
      <c r="B93" s="641"/>
      <c r="C93" s="880" t="s">
        <v>4767</v>
      </c>
      <c r="D93" s="885" t="s">
        <v>3740</v>
      </c>
      <c r="E93" s="884"/>
      <c r="F93" s="882"/>
      <c r="G93" s="883"/>
      <c r="H93" s="75"/>
      <c r="I93" s="669" t="s">
        <v>3102</v>
      </c>
      <c r="J93" s="647"/>
      <c r="K93" s="75"/>
      <c r="L93" s="75"/>
      <c r="N93" s="76"/>
      <c r="O93" s="1199"/>
      <c r="P93" s="76"/>
      <c r="Q93" s="93"/>
      <c r="R93" s="648"/>
      <c r="S93" s="78">
        <v>5</v>
      </c>
      <c r="T93" s="78"/>
      <c r="U93" s="90">
        <f>2*S93</f>
        <v>10</v>
      </c>
      <c r="V93" t="s">
        <v>3696</v>
      </c>
      <c r="Y93" s="1362">
        <f ca="1">SUM(Y83:Y92)</f>
        <v>0</v>
      </c>
      <c r="Z93" s="1377"/>
      <c r="AA93" s="1398"/>
      <c r="AB93" s="1363"/>
      <c r="AC93" s="1367" t="s">
        <v>205</v>
      </c>
      <c r="AD93" s="1367"/>
      <c r="AE93" s="2002"/>
      <c r="AF93" s="1386"/>
      <c r="AG93" s="1364"/>
      <c r="AH93" s="1260"/>
    </row>
    <row r="94" spans="2:36" ht="14.25" customHeight="1" thickBot="1">
      <c r="B94" s="641"/>
      <c r="C94" s="880" t="s">
        <v>4767</v>
      </c>
      <c r="D94" s="885" t="s">
        <v>3688</v>
      </c>
      <c r="E94" s="884"/>
      <c r="F94" s="882"/>
      <c r="G94" s="883"/>
      <c r="H94" s="75"/>
      <c r="I94" s="646"/>
      <c r="J94" s="647"/>
      <c r="K94" s="75"/>
      <c r="L94" s="75"/>
      <c r="N94" s="76"/>
      <c r="O94" s="1199"/>
      <c r="P94" s="76"/>
      <c r="Q94" s="93"/>
      <c r="R94" s="648"/>
      <c r="S94" s="78">
        <v>7.5</v>
      </c>
      <c r="T94" s="78"/>
      <c r="U94" s="90">
        <v>15</v>
      </c>
      <c r="V94" t="s">
        <v>3699</v>
      </c>
      <c r="Y94" s="1365"/>
      <c r="Z94" s="1378"/>
      <c r="AA94" s="1402"/>
      <c r="AB94" s="1369" t="s">
        <v>222</v>
      </c>
      <c r="AC94" s="1381">
        <v>1</v>
      </c>
      <c r="AD94" s="1381"/>
      <c r="AE94" s="2003"/>
      <c r="AF94" s="1368" t="str">
        <f ca="1">IF(Y93=1,DGET(Y82:AG92,AB82,AC93:AC94),IF(Y93=0," ",CONCATENATE("Hay ",Y93," Cumpleaños")))</f>
        <v xml:space="preserve"> </v>
      </c>
      <c r="AG94" s="1366"/>
    </row>
    <row r="95" spans="2:36" ht="14.25" customHeight="1" thickBot="1">
      <c r="B95" s="641"/>
      <c r="C95" s="880" t="s">
        <v>4767</v>
      </c>
      <c r="D95" s="885" t="s">
        <v>4238</v>
      </c>
      <c r="E95" s="884"/>
      <c r="F95" s="882"/>
      <c r="G95" s="883"/>
      <c r="H95" s="75"/>
      <c r="I95" s="646"/>
      <c r="J95" s="647"/>
      <c r="K95" s="75"/>
      <c r="L95" s="75"/>
      <c r="N95" s="76"/>
      <c r="O95" s="1199"/>
      <c r="P95" s="76"/>
      <c r="Q95" s="93"/>
      <c r="R95" s="648"/>
      <c r="S95" s="78"/>
      <c r="T95" s="78"/>
      <c r="U95" s="936">
        <f>SUM(U90:U94)</f>
        <v>55</v>
      </c>
      <c r="AA95" s="1398"/>
      <c r="AC95" s="1355"/>
      <c r="AD95" s="1355"/>
      <c r="AE95" s="2008"/>
    </row>
    <row r="96" spans="2:36" ht="14.25" customHeight="1">
      <c r="B96" s="641"/>
      <c r="C96" s="880" t="s">
        <v>4767</v>
      </c>
      <c r="D96" s="885" t="s">
        <v>1914</v>
      </c>
      <c r="E96" s="884"/>
      <c r="F96" s="882"/>
      <c r="G96" s="883"/>
      <c r="H96" s="75"/>
      <c r="I96" s="877" t="s">
        <v>3295</v>
      </c>
      <c r="J96" s="647"/>
      <c r="K96" s="75"/>
      <c r="L96" s="75"/>
      <c r="N96" s="76"/>
      <c r="O96" s="1199"/>
      <c r="P96" s="76"/>
      <c r="Q96" s="93"/>
      <c r="R96" s="648"/>
      <c r="S96" s="78"/>
      <c r="T96" s="78"/>
      <c r="Y96" s="1358" t="s">
        <v>205</v>
      </c>
      <c r="Z96" s="1379" t="s">
        <v>589</v>
      </c>
      <c r="AA96" s="1399" t="s">
        <v>27</v>
      </c>
      <c r="AB96" s="1359" t="s">
        <v>3634</v>
      </c>
      <c r="AC96" s="1360" t="s">
        <v>2398</v>
      </c>
      <c r="AD96" s="1360" t="s">
        <v>4593</v>
      </c>
      <c r="AE96" s="1999" t="s">
        <v>1584</v>
      </c>
      <c r="AF96" s="1383" t="s">
        <v>1958</v>
      </c>
      <c r="AG96" s="1361" t="s">
        <v>756</v>
      </c>
    </row>
    <row r="97" spans="2:33" ht="14.25" customHeight="1">
      <c r="B97" s="641"/>
      <c r="C97" s="880" t="s">
        <v>4767</v>
      </c>
      <c r="D97" s="885" t="s">
        <v>1914</v>
      </c>
      <c r="E97" s="884"/>
      <c r="F97" s="882"/>
      <c r="G97" s="883"/>
      <c r="H97" s="75"/>
      <c r="I97" s="669" t="s">
        <v>530</v>
      </c>
      <c r="J97" s="647"/>
      <c r="K97" s="75"/>
      <c r="L97" s="75"/>
      <c r="N97" s="76"/>
      <c r="O97" s="1199"/>
      <c r="P97" s="76"/>
      <c r="Q97" s="93"/>
      <c r="R97" s="13" t="s">
        <v>277</v>
      </c>
      <c r="Y97" s="1371" t="str">
        <f t="shared" ref="Y97:Y111" ca="1" si="19">IF(AND(MONTH($B$1)=MONTH(AC97),DAY($B$1)=DAY(AC97)),1, " ")</f>
        <v xml:space="preserve"> </v>
      </c>
      <c r="Z97" s="1380">
        <v>1</v>
      </c>
      <c r="AA97" s="1400"/>
      <c r="AB97" s="1370" t="s">
        <v>4014</v>
      </c>
      <c r="AC97" s="2026">
        <v>38790</v>
      </c>
      <c r="AD97" s="1796">
        <f t="shared" ref="AD97:AD110" si="20">MONTH(AC97)</f>
        <v>3</v>
      </c>
      <c r="AE97" s="2005">
        <f t="shared" ref="AE97:AE107" ca="1" si="21">IF(MONTH(TODAY())&lt;MONTH(AC97),YEAR(TODAY())-YEAR(AC97)-1,IF(MONTH(TODAY())=MONTH(AC97),IF(DAY(TODAY())&lt;DAY(AC97),YEAR(TODAY())-YEAR(AC97),YEAR(TODAY())-YEAR(AC97)-1),YEAR(TODAY())-YEAR(AC97)))</f>
        <v>14</v>
      </c>
      <c r="AF97" s="1384"/>
      <c r="AG97" s="1372"/>
    </row>
    <row r="98" spans="2:33" ht="14.25" customHeight="1">
      <c r="B98" s="641"/>
      <c r="C98" s="880" t="s">
        <v>4336</v>
      </c>
      <c r="D98" s="885" t="s">
        <v>1891</v>
      </c>
      <c r="E98" s="884"/>
      <c r="F98" s="882"/>
      <c r="G98" s="883"/>
      <c r="H98" s="75"/>
      <c r="I98" s="669" t="s">
        <v>2820</v>
      </c>
      <c r="J98" s="647"/>
      <c r="K98" s="75"/>
      <c r="L98" s="75"/>
      <c r="N98" s="76"/>
      <c r="O98" s="1199"/>
      <c r="P98" s="76"/>
      <c r="Q98" s="93"/>
      <c r="Y98" s="1371" t="str">
        <f t="shared" ca="1" si="19"/>
        <v xml:space="preserve"> </v>
      </c>
      <c r="Z98" s="1380">
        <v>2</v>
      </c>
      <c r="AA98" s="1400" t="s">
        <v>1495</v>
      </c>
      <c r="AB98" s="1370" t="s">
        <v>958</v>
      </c>
      <c r="AC98" s="2026">
        <v>19472</v>
      </c>
      <c r="AD98" s="1796">
        <f t="shared" si="20"/>
        <v>4</v>
      </c>
      <c r="AE98" s="2005">
        <f t="shared" ca="1" si="21"/>
        <v>66</v>
      </c>
      <c r="AF98" s="1384"/>
      <c r="AG98" s="1372"/>
    </row>
    <row r="99" spans="2:33" ht="14.25" customHeight="1">
      <c r="B99" s="641"/>
      <c r="C99" s="880" t="s">
        <v>4767</v>
      </c>
      <c r="D99" s="885" t="s">
        <v>4726</v>
      </c>
      <c r="E99" s="884"/>
      <c r="F99" s="882"/>
      <c r="G99" s="883"/>
      <c r="H99" s="75"/>
      <c r="I99" s="646"/>
      <c r="J99" s="647"/>
      <c r="K99" s="75"/>
      <c r="L99" s="75"/>
      <c r="N99" s="76"/>
      <c r="O99" s="1199"/>
      <c r="P99" s="76"/>
      <c r="Q99" s="93"/>
      <c r="R99" s="938" t="s">
        <v>2293</v>
      </c>
      <c r="Y99" s="1371" t="str">
        <f t="shared" ca="1" si="19"/>
        <v xml:space="preserve"> </v>
      </c>
      <c r="Z99" s="1380">
        <v>3</v>
      </c>
      <c r="AA99" s="1400"/>
      <c r="AB99" s="1370" t="s">
        <v>3551</v>
      </c>
      <c r="AC99" s="2026">
        <v>23129</v>
      </c>
      <c r="AD99" s="1796">
        <f t="shared" si="20"/>
        <v>4</v>
      </c>
      <c r="AE99" s="2005">
        <f t="shared" ca="1" si="21"/>
        <v>56</v>
      </c>
      <c r="AF99" s="1384"/>
      <c r="AG99" s="1372"/>
    </row>
    <row r="100" spans="2:33" ht="14.25" customHeight="1">
      <c r="B100" s="641"/>
      <c r="C100" s="880" t="s">
        <v>4767</v>
      </c>
      <c r="D100" s="885" t="s">
        <v>4190</v>
      </c>
      <c r="E100" s="884"/>
      <c r="F100" s="882"/>
      <c r="G100" s="883"/>
      <c r="H100" s="1167"/>
      <c r="I100" s="669"/>
      <c r="J100" s="647"/>
      <c r="K100" s="75"/>
      <c r="L100" s="75"/>
      <c r="N100" s="76"/>
      <c r="O100" s="1199"/>
      <c r="P100" s="76"/>
      <c r="Q100" s="93"/>
      <c r="R100" s="938" t="s">
        <v>2966</v>
      </c>
      <c r="Y100" s="1371" t="str">
        <f t="shared" ca="1" si="19"/>
        <v xml:space="preserve"> </v>
      </c>
      <c r="Z100" s="1380">
        <v>4</v>
      </c>
      <c r="AA100" s="1400"/>
      <c r="AB100" s="1370" t="s">
        <v>957</v>
      </c>
      <c r="AC100" s="2026">
        <v>10366</v>
      </c>
      <c r="AD100" s="1796">
        <f t="shared" si="20"/>
        <v>5</v>
      </c>
      <c r="AE100" s="2005">
        <f t="shared" ca="1" si="21"/>
        <v>91</v>
      </c>
      <c r="AF100" s="1384"/>
      <c r="AG100" s="1372"/>
    </row>
    <row r="101" spans="2:33" ht="14.25" customHeight="1">
      <c r="B101" s="641"/>
      <c r="C101" s="880" t="s">
        <v>4767</v>
      </c>
      <c r="D101" s="885" t="s">
        <v>443</v>
      </c>
      <c r="E101" s="884"/>
      <c r="F101" s="882"/>
      <c r="G101" s="883"/>
      <c r="H101" s="1167"/>
      <c r="I101" s="669"/>
      <c r="J101" s="647"/>
      <c r="K101" s="75"/>
      <c r="L101" s="75"/>
      <c r="N101" s="76"/>
      <c r="O101" s="1199"/>
      <c r="P101" s="76"/>
      <c r="Q101" s="93"/>
      <c r="R101" s="944"/>
      <c r="S101" s="96"/>
      <c r="T101" s="96"/>
      <c r="U101" s="96"/>
      <c r="V101" s="96"/>
      <c r="W101" s="96"/>
      <c r="Y101" s="1371" t="str">
        <f t="shared" ca="1" si="19"/>
        <v xml:space="preserve"> </v>
      </c>
      <c r="Z101" s="1380">
        <v>5</v>
      </c>
      <c r="AA101" s="1400"/>
      <c r="AB101" s="1370" t="s">
        <v>959</v>
      </c>
      <c r="AC101" s="2026">
        <v>29387</v>
      </c>
      <c r="AD101" s="1796">
        <f t="shared" si="20"/>
        <v>6</v>
      </c>
      <c r="AE101" s="2005">
        <f t="shared" ca="1" si="21"/>
        <v>39</v>
      </c>
      <c r="AF101" s="1384"/>
      <c r="AG101" s="1372"/>
    </row>
    <row r="102" spans="2:33" ht="15.75">
      <c r="B102" s="641"/>
      <c r="C102" s="880" t="s">
        <v>4074</v>
      </c>
      <c r="D102" s="885" t="s">
        <v>4075</v>
      </c>
      <c r="E102" s="884"/>
      <c r="F102" s="882"/>
      <c r="G102" s="883"/>
      <c r="H102" s="1168" t="s">
        <v>2335</v>
      </c>
      <c r="I102" s="1169"/>
      <c r="J102" s="1170"/>
      <c r="K102" s="140"/>
      <c r="L102" s="141"/>
      <c r="N102" s="76"/>
      <c r="O102" s="1199"/>
      <c r="P102" s="76"/>
      <c r="Q102" s="93"/>
      <c r="R102" s="945" t="s">
        <v>2802</v>
      </c>
      <c r="S102" s="946" t="s">
        <v>4754</v>
      </c>
      <c r="T102" s="946"/>
      <c r="U102" s="96"/>
      <c r="V102" s="96"/>
      <c r="W102" s="96"/>
      <c r="Y102" s="1371" t="str">
        <f t="shared" ca="1" si="19"/>
        <v xml:space="preserve"> </v>
      </c>
      <c r="Z102" s="1380">
        <v>6</v>
      </c>
      <c r="AA102" s="1400">
        <v>42619281</v>
      </c>
      <c r="AB102" s="1405" t="s">
        <v>717</v>
      </c>
      <c r="AC102" s="2026">
        <v>30843</v>
      </c>
      <c r="AD102" s="1796">
        <f t="shared" si="20"/>
        <v>6</v>
      </c>
      <c r="AE102" s="2005">
        <f t="shared" ca="1" si="21"/>
        <v>35</v>
      </c>
      <c r="AF102" s="1384"/>
      <c r="AG102" s="1372"/>
    </row>
    <row r="103" spans="2:33" ht="15.75">
      <c r="B103" s="641"/>
      <c r="C103" s="880" t="s">
        <v>4076</v>
      </c>
      <c r="D103" s="885" t="s">
        <v>287</v>
      </c>
      <c r="E103" s="884"/>
      <c r="F103" s="882"/>
      <c r="G103" s="883"/>
      <c r="H103" s="1175" t="s">
        <v>4969</v>
      </c>
      <c r="I103" s="675"/>
      <c r="J103" s="1176"/>
      <c r="K103" s="80"/>
      <c r="L103" s="1177">
        <v>40176</v>
      </c>
      <c r="N103" s="76"/>
      <c r="O103" s="1199"/>
      <c r="P103" s="76"/>
      <c r="Q103" s="93"/>
      <c r="R103" s="945" t="s">
        <v>3856</v>
      </c>
      <c r="S103" s="946" t="s">
        <v>113</v>
      </c>
      <c r="T103" s="946"/>
      <c r="U103" s="96"/>
      <c r="V103" s="96"/>
      <c r="W103" s="96"/>
      <c r="Y103" s="1371" t="str">
        <f t="shared" ca="1" si="19"/>
        <v xml:space="preserve"> </v>
      </c>
      <c r="Z103" s="1380">
        <v>7</v>
      </c>
      <c r="AA103" s="1400" t="s">
        <v>250</v>
      </c>
      <c r="AB103" s="2125" t="s">
        <v>249</v>
      </c>
      <c r="AC103" s="2026">
        <v>29417</v>
      </c>
      <c r="AD103" s="1796">
        <f t="shared" si="20"/>
        <v>7</v>
      </c>
      <c r="AE103" s="2005">
        <f t="shared" ca="1" si="21"/>
        <v>39</v>
      </c>
      <c r="AF103" s="1384"/>
      <c r="AG103" s="1372"/>
    </row>
    <row r="104" spans="2:33" ht="14.25" customHeight="1">
      <c r="B104" s="641"/>
      <c r="C104" s="880" t="s">
        <v>4076</v>
      </c>
      <c r="D104" s="885" t="s">
        <v>4738</v>
      </c>
      <c r="E104" s="884"/>
      <c r="F104" s="882"/>
      <c r="G104" s="883"/>
      <c r="H104" s="1171">
        <v>2</v>
      </c>
      <c r="I104" s="669" t="s">
        <v>1043</v>
      </c>
      <c r="J104" s="647"/>
      <c r="K104" s="75"/>
      <c r="L104" s="142">
        <v>360</v>
      </c>
      <c r="N104" s="76"/>
      <c r="O104" s="1199"/>
      <c r="P104" s="76"/>
      <c r="Q104" s="93"/>
      <c r="R104" s="945" t="s">
        <v>3857</v>
      </c>
      <c r="S104" s="946" t="s">
        <v>4755</v>
      </c>
      <c r="T104" s="946"/>
      <c r="U104" s="96"/>
      <c r="V104" s="96"/>
      <c r="W104" s="96"/>
      <c r="Y104" s="1371" t="str">
        <f t="shared" ca="1" si="19"/>
        <v xml:space="preserve"> </v>
      </c>
      <c r="Z104" s="1380">
        <v>8</v>
      </c>
      <c r="AA104" s="1400"/>
      <c r="AB104" s="1370" t="s">
        <v>960</v>
      </c>
      <c r="AC104" s="2026">
        <v>23628</v>
      </c>
      <c r="AD104" s="1796">
        <f t="shared" si="20"/>
        <v>9</v>
      </c>
      <c r="AE104" s="2005">
        <f t="shared" ca="1" si="21"/>
        <v>55</v>
      </c>
      <c r="AF104" s="1384"/>
      <c r="AG104" s="1372"/>
    </row>
    <row r="105" spans="2:33" ht="14.25" customHeight="1">
      <c r="B105" s="641"/>
      <c r="C105" s="880" t="s">
        <v>4767</v>
      </c>
      <c r="D105" s="878" t="s">
        <v>2138</v>
      </c>
      <c r="E105" s="881"/>
      <c r="F105" s="882"/>
      <c r="G105" s="883"/>
      <c r="H105" s="1171">
        <v>2</v>
      </c>
      <c r="I105" s="669" t="s">
        <v>1044</v>
      </c>
      <c r="J105" s="647"/>
      <c r="K105" s="75"/>
      <c r="L105" s="142">
        <v>110</v>
      </c>
      <c r="N105" s="76"/>
      <c r="O105" s="1199"/>
      <c r="P105" s="76"/>
      <c r="Q105" s="93"/>
      <c r="R105" s="945" t="s">
        <v>4818</v>
      </c>
      <c r="S105" s="948" t="s">
        <v>350</v>
      </c>
      <c r="T105" s="948"/>
      <c r="U105" s="96"/>
      <c r="V105" s="96"/>
      <c r="W105" s="96"/>
      <c r="Y105" s="1371" t="str">
        <f t="shared" ca="1" si="19"/>
        <v xml:space="preserve"> </v>
      </c>
      <c r="Z105" s="1380">
        <v>9</v>
      </c>
      <c r="AA105" s="1400" t="s">
        <v>2341</v>
      </c>
      <c r="AB105" s="1370" t="s">
        <v>3297</v>
      </c>
      <c r="AC105" s="2026">
        <v>28378</v>
      </c>
      <c r="AD105" s="1796">
        <f t="shared" si="20"/>
        <v>9</v>
      </c>
      <c r="AE105" s="2005">
        <f t="shared" ca="1" si="21"/>
        <v>42</v>
      </c>
      <c r="AF105" s="1384"/>
      <c r="AG105" s="1372"/>
    </row>
    <row r="106" spans="2:33" ht="14.25" customHeight="1">
      <c r="B106" s="641"/>
      <c r="C106" s="880"/>
      <c r="D106" s="878"/>
      <c r="E106" s="881"/>
      <c r="F106" s="882"/>
      <c r="G106" s="883"/>
      <c r="H106" s="1172"/>
      <c r="I106" s="1173" t="s">
        <v>1237</v>
      </c>
      <c r="J106" s="1173"/>
      <c r="K106" s="1174"/>
      <c r="L106" s="144"/>
      <c r="N106" s="76"/>
      <c r="O106" s="1199"/>
      <c r="P106" s="76"/>
      <c r="Q106" s="93"/>
      <c r="R106" s="945" t="s">
        <v>3618</v>
      </c>
      <c r="S106" s="946" t="s">
        <v>4688</v>
      </c>
      <c r="T106" s="946"/>
      <c r="U106" s="96"/>
      <c r="V106" s="96"/>
      <c r="W106" s="96"/>
      <c r="Y106" s="1371" t="str">
        <f t="shared" ca="1" si="19"/>
        <v xml:space="preserve"> </v>
      </c>
      <c r="Z106" s="1380">
        <v>10</v>
      </c>
      <c r="AA106" s="1400" t="s">
        <v>2340</v>
      </c>
      <c r="AB106" s="1405" t="s">
        <v>2698</v>
      </c>
      <c r="AC106" s="2026">
        <v>23298</v>
      </c>
      <c r="AD106" s="1796">
        <f t="shared" si="20"/>
        <v>10</v>
      </c>
      <c r="AE106" s="2005">
        <f t="shared" ca="1" si="21"/>
        <v>56</v>
      </c>
      <c r="AF106" s="1384"/>
      <c r="AG106" s="1372"/>
    </row>
    <row r="107" spans="2:33" ht="14.25" customHeight="1">
      <c r="B107" s="641"/>
      <c r="C107" s="880"/>
      <c r="D107" s="878"/>
      <c r="E107" s="881"/>
      <c r="F107" s="882"/>
      <c r="G107" s="883"/>
      <c r="H107" s="886"/>
      <c r="I107" s="887"/>
      <c r="J107" s="888"/>
      <c r="K107" s="886"/>
      <c r="L107" s="75"/>
      <c r="N107" s="76"/>
      <c r="O107" s="1199"/>
      <c r="P107" s="76"/>
      <c r="Q107" s="93"/>
      <c r="R107" s="945" t="s">
        <v>3619</v>
      </c>
      <c r="S107" s="946" t="s">
        <v>4689</v>
      </c>
      <c r="T107" s="946"/>
      <c r="U107" s="96"/>
      <c r="V107" s="96"/>
      <c r="W107" s="96"/>
      <c r="Y107" s="1371" t="str">
        <f t="shared" ca="1" si="19"/>
        <v xml:space="preserve"> </v>
      </c>
      <c r="Z107" s="1380">
        <v>11</v>
      </c>
      <c r="AA107" s="1400" t="s">
        <v>3778</v>
      </c>
      <c r="AB107" s="1370" t="s">
        <v>3779</v>
      </c>
      <c r="AC107" s="2026">
        <v>30959</v>
      </c>
      <c r="AD107" s="1796">
        <f t="shared" si="20"/>
        <v>10</v>
      </c>
      <c r="AE107" s="2005">
        <f t="shared" ca="1" si="21"/>
        <v>35</v>
      </c>
      <c r="AF107" s="1384"/>
      <c r="AG107" s="1372"/>
    </row>
    <row r="108" spans="2:33" ht="14.25" customHeight="1">
      <c r="B108" s="641"/>
      <c r="C108" s="880"/>
      <c r="D108" s="880"/>
      <c r="E108" s="881"/>
      <c r="F108" s="882"/>
      <c r="G108" s="883"/>
      <c r="H108" s="886"/>
      <c r="I108" s="887"/>
      <c r="J108" s="888"/>
      <c r="K108" s="886"/>
      <c r="L108" s="75"/>
      <c r="N108" s="76"/>
      <c r="O108" s="1199"/>
      <c r="P108" s="76"/>
      <c r="Q108" s="93"/>
      <c r="R108" s="945" t="s">
        <v>3620</v>
      </c>
      <c r="S108" s="946" t="s">
        <v>723</v>
      </c>
      <c r="T108" s="946"/>
      <c r="U108" s="96"/>
      <c r="V108" s="96"/>
      <c r="W108" s="96"/>
      <c r="Y108" s="1371" t="str">
        <f t="shared" ca="1" si="19"/>
        <v xml:space="preserve"> </v>
      </c>
      <c r="Z108" s="1380">
        <v>12</v>
      </c>
      <c r="AA108" s="1400" t="s">
        <v>1494</v>
      </c>
      <c r="AB108" s="1370" t="s">
        <v>1493</v>
      </c>
      <c r="AC108" s="2026">
        <v>28324</v>
      </c>
      <c r="AD108" s="1796">
        <f t="shared" si="20"/>
        <v>7</v>
      </c>
      <c r="AE108" s="2005">
        <f ca="1">IF(MONTH(TODAY())&lt;MONTH(AC108),YEAR(TODAY())-YEAR(AC108)-1,IF(MONTH(TODAY())=MONTH(AC108),IF(DAY(TODAY())&lt;DAY(AC108),YEAR(TODAY())-YEAR(AC108),YEAR(TODAY())-YEAR(AC108)-1),YEAR(TODAY())-YEAR(AC108)))</f>
        <v>42</v>
      </c>
      <c r="AF108" s="1384"/>
      <c r="AG108" s="1372"/>
    </row>
    <row r="109" spans="2:33" ht="12.2" customHeight="1">
      <c r="B109" s="641"/>
      <c r="C109" s="642" t="s">
        <v>4686</v>
      </c>
      <c r="D109" s="878" t="s">
        <v>2152</v>
      </c>
      <c r="E109" s="881"/>
      <c r="F109" s="882"/>
      <c r="G109" s="883"/>
      <c r="H109" s="886"/>
      <c r="I109" s="3851" t="s">
        <v>4120</v>
      </c>
      <c r="J109" s="3852"/>
      <c r="K109" s="3853"/>
      <c r="L109" s="75"/>
      <c r="N109" s="76"/>
      <c r="O109" s="1199"/>
      <c r="P109" s="76"/>
      <c r="Q109" s="93"/>
      <c r="R109" s="945" t="s">
        <v>4368</v>
      </c>
      <c r="S109" s="946" t="s">
        <v>1529</v>
      </c>
      <c r="T109" s="946"/>
      <c r="U109" s="96"/>
      <c r="V109" s="96"/>
      <c r="W109" s="96"/>
      <c r="Y109" s="2010" t="str">
        <f t="shared" ca="1" si="19"/>
        <v xml:space="preserve"> </v>
      </c>
      <c r="Z109" s="2011">
        <v>13</v>
      </c>
      <c r="AA109" s="2012" t="s">
        <v>4350</v>
      </c>
      <c r="AB109" s="2013" t="s">
        <v>48</v>
      </c>
      <c r="AC109" s="2028">
        <v>30293</v>
      </c>
      <c r="AD109" s="2014">
        <f t="shared" si="20"/>
        <v>12</v>
      </c>
      <c r="AE109" s="2015">
        <f ca="1">IF(MONTH(TODAY())&lt;MONTH(AC109),YEAR(TODAY())-YEAR(AC109)-1,IF(MONTH(TODAY())=MONTH(AC109),IF(DAY(TODAY())&lt;DAY(AC109),YEAR(TODAY())-YEAR(AC109),YEAR(TODAY())-YEAR(AC109)-1),YEAR(TODAY())-YEAR(AC109)))</f>
        <v>37</v>
      </c>
      <c r="AF109" s="2016"/>
      <c r="AG109" s="2017"/>
    </row>
    <row r="110" spans="2:33" ht="12.2" customHeight="1">
      <c r="B110" s="641"/>
      <c r="C110" s="880" t="s">
        <v>974</v>
      </c>
      <c r="D110" s="878" t="s">
        <v>4149</v>
      </c>
      <c r="E110" s="881"/>
      <c r="F110" s="882"/>
      <c r="G110" s="883"/>
      <c r="H110" s="886"/>
      <c r="I110" s="887"/>
      <c r="J110" s="888"/>
      <c r="K110" s="886"/>
      <c r="L110" s="75"/>
      <c r="N110" s="76"/>
      <c r="O110" s="1199"/>
      <c r="P110" s="76"/>
      <c r="Q110" s="93"/>
      <c r="R110" s="945" t="s">
        <v>4369</v>
      </c>
      <c r="S110" s="946" t="s">
        <v>1529</v>
      </c>
      <c r="T110" s="946"/>
      <c r="U110" s="96"/>
      <c r="V110" s="96"/>
      <c r="W110" s="96"/>
      <c r="Y110" s="2010" t="str">
        <f t="shared" ca="1" si="19"/>
        <v xml:space="preserve"> </v>
      </c>
      <c r="Z110" s="2011">
        <v>14</v>
      </c>
      <c r="AA110" s="2274" t="s">
        <v>635</v>
      </c>
      <c r="AB110" s="2273" t="s">
        <v>636</v>
      </c>
      <c r="AC110" s="2028">
        <v>30729</v>
      </c>
      <c r="AD110" s="2014">
        <f t="shared" si="20"/>
        <v>2</v>
      </c>
      <c r="AE110" s="2015">
        <f ca="1">IF(MONTH(TODAY())&lt;MONTH(AC110),YEAR(TODAY())-YEAR(AC110)-1,IF(MONTH(TODAY())=MONTH(AC110),IF(DAY(TODAY())&lt;DAY(AC110),YEAR(TODAY())-YEAR(AC110),YEAR(TODAY())-YEAR(AC110)-1),YEAR(TODAY())-YEAR(AC110)))</f>
        <v>36</v>
      </c>
      <c r="AF110" s="2016"/>
      <c r="AG110" s="2017"/>
    </row>
    <row r="111" spans="2:33" ht="12.2" customHeight="1" thickBot="1">
      <c r="B111" s="641"/>
      <c r="C111" s="880" t="s">
        <v>974</v>
      </c>
      <c r="D111" s="878" t="s">
        <v>4789</v>
      </c>
      <c r="E111" s="881"/>
      <c r="F111" s="882"/>
      <c r="G111" s="883"/>
      <c r="H111" s="886"/>
      <c r="I111" s="887"/>
      <c r="J111" s="888"/>
      <c r="K111" s="886"/>
      <c r="L111" s="75"/>
      <c r="N111" s="76"/>
      <c r="O111" s="1199"/>
      <c r="P111" s="76"/>
      <c r="Q111" s="93"/>
      <c r="R111" s="945" t="s">
        <v>4370</v>
      </c>
      <c r="S111" s="946" t="s">
        <v>4671</v>
      </c>
      <c r="T111" s="946"/>
      <c r="U111" s="96"/>
      <c r="V111" s="96"/>
      <c r="W111" s="96"/>
      <c r="Y111" s="1373" t="str">
        <f t="shared" ca="1" si="19"/>
        <v xml:space="preserve"> </v>
      </c>
      <c r="Z111" s="1483">
        <v>15</v>
      </c>
      <c r="AA111" s="1401"/>
      <c r="AB111" s="1374"/>
      <c r="AC111" s="2027"/>
      <c r="AD111" s="1375"/>
      <c r="AE111" s="2009"/>
      <c r="AF111" s="1385"/>
      <c r="AG111" s="1376"/>
    </row>
    <row r="112" spans="2:33" ht="12.2" customHeight="1">
      <c r="B112" s="641"/>
      <c r="C112" s="880" t="s">
        <v>4790</v>
      </c>
      <c r="D112" s="878" t="s">
        <v>2612</v>
      </c>
      <c r="E112" s="881"/>
      <c r="F112" s="882"/>
      <c r="G112" s="883"/>
      <c r="H112" s="886"/>
      <c r="I112" s="887"/>
      <c r="J112" s="888"/>
      <c r="K112" s="886"/>
      <c r="L112" s="75"/>
      <c r="N112" s="76"/>
      <c r="O112" s="1199"/>
      <c r="P112" s="76"/>
      <c r="Q112" s="93"/>
      <c r="R112" s="945" t="s">
        <v>1921</v>
      </c>
      <c r="S112" s="946" t="s">
        <v>276</v>
      </c>
      <c r="T112" s="946"/>
      <c r="U112" s="96"/>
      <c r="V112" s="96"/>
      <c r="W112" s="96"/>
      <c r="Y112" s="1362">
        <f ca="1">SUM(Y97:Y111)</f>
        <v>0</v>
      </c>
      <c r="Z112" s="1377"/>
      <c r="AA112" s="1398"/>
      <c r="AB112" s="1363"/>
      <c r="AC112" s="1367" t="s">
        <v>205</v>
      </c>
      <c r="AD112" s="1367"/>
      <c r="AE112" s="2002"/>
      <c r="AF112" s="1386"/>
      <c r="AG112" s="1364"/>
    </row>
    <row r="113" spans="2:34" ht="12.2" customHeight="1" thickBot="1">
      <c r="B113" s="641"/>
      <c r="C113" s="880" t="s">
        <v>4687</v>
      </c>
      <c r="D113" s="878" t="s">
        <v>2975</v>
      </c>
      <c r="E113" s="881"/>
      <c r="F113" s="882"/>
      <c r="G113" s="883"/>
      <c r="H113" s="886"/>
      <c r="I113" s="887"/>
      <c r="J113" s="888"/>
      <c r="K113" s="886"/>
      <c r="L113" s="75"/>
      <c r="N113" s="76"/>
      <c r="O113" s="1199"/>
      <c r="P113" s="76"/>
      <c r="Q113" s="93"/>
      <c r="R113" s="945"/>
      <c r="S113" s="946"/>
      <c r="T113" s="946"/>
      <c r="U113" s="96"/>
      <c r="V113" s="96"/>
      <c r="W113" s="96"/>
      <c r="X113" s="96"/>
      <c r="Y113" s="1365"/>
      <c r="Z113" s="1378"/>
      <c r="AA113" s="1402"/>
      <c r="AB113" s="1369" t="s">
        <v>222</v>
      </c>
      <c r="AC113" s="1381">
        <v>1</v>
      </c>
      <c r="AD113" s="1381"/>
      <c r="AE113" s="2003"/>
      <c r="AF113" s="1368" t="str">
        <f ca="1">IF(Y112=1,DGET(Y96:AG111,AB96,AC112:AC113),IF(Y112=0," ",CONCATENATE("Hay ",Y112," Cumpleaños")))</f>
        <v xml:space="preserve"> </v>
      </c>
      <c r="AG113" s="1366"/>
    </row>
    <row r="114" spans="2:34" ht="12.2" customHeight="1" thickBot="1">
      <c r="B114" s="641"/>
      <c r="C114" s="880" t="s">
        <v>4641</v>
      </c>
      <c r="D114" s="885" t="s">
        <v>4766</v>
      </c>
      <c r="E114" s="881"/>
      <c r="F114" s="882"/>
      <c r="G114" s="883"/>
      <c r="H114" s="886"/>
      <c r="I114" s="887"/>
      <c r="J114" s="888"/>
      <c r="K114" s="886"/>
      <c r="L114" s="75"/>
      <c r="N114" s="76"/>
      <c r="O114" s="1199"/>
      <c r="P114" s="76"/>
      <c r="Q114" s="93"/>
      <c r="R114" s="648"/>
      <c r="S114" s="76"/>
      <c r="T114" s="76"/>
      <c r="X114" s="96"/>
    </row>
    <row r="115" spans="2:34" ht="12.2" customHeight="1">
      <c r="B115" s="641"/>
      <c r="C115" s="880" t="s">
        <v>2976</v>
      </c>
      <c r="D115" s="885" t="s">
        <v>3978</v>
      </c>
      <c r="E115" s="884"/>
      <c r="F115" s="882"/>
      <c r="G115" s="883"/>
      <c r="H115" s="886"/>
      <c r="I115" s="887"/>
      <c r="J115" s="888"/>
      <c r="K115" s="75" t="s">
        <v>378</v>
      </c>
      <c r="L115" s="75"/>
      <c r="N115" s="76"/>
      <c r="O115" s="1199"/>
      <c r="P115" s="76"/>
      <c r="Q115" s="93"/>
      <c r="R115" s="949" t="s">
        <v>1824</v>
      </c>
      <c r="S115" s="76"/>
      <c r="T115" s="76"/>
      <c r="X115" s="96"/>
      <c r="Y115" s="1358" t="s">
        <v>205</v>
      </c>
      <c r="Z115" s="1379" t="s">
        <v>589</v>
      </c>
      <c r="AA115" s="1399" t="s">
        <v>27</v>
      </c>
      <c r="AB115" s="1359" t="s">
        <v>3634</v>
      </c>
      <c r="AC115" s="1360" t="s">
        <v>2398</v>
      </c>
      <c r="AD115" s="1360" t="s">
        <v>4593</v>
      </c>
      <c r="AE115" s="1999" t="s">
        <v>1584</v>
      </c>
      <c r="AF115" s="1383" t="s">
        <v>1958</v>
      </c>
      <c r="AG115" s="1361" t="s">
        <v>756</v>
      </c>
    </row>
    <row r="116" spans="2:34" ht="12.2" customHeight="1">
      <c r="B116" s="641"/>
      <c r="C116" s="880" t="s">
        <v>2976</v>
      </c>
      <c r="D116" s="885" t="s">
        <v>3740</v>
      </c>
      <c r="E116" s="884"/>
      <c r="F116" s="882"/>
      <c r="G116" s="883"/>
      <c r="H116" s="886"/>
      <c r="I116" s="877" t="s">
        <v>3083</v>
      </c>
      <c r="J116" s="647"/>
      <c r="K116" s="887" t="s">
        <v>2319</v>
      </c>
      <c r="L116" s="75"/>
      <c r="N116" s="76"/>
      <c r="O116" s="1199"/>
      <c r="P116" s="76"/>
      <c r="Q116" s="93"/>
      <c r="R116" s="949" t="s">
        <v>4626</v>
      </c>
      <c r="S116" s="76"/>
      <c r="T116" s="76"/>
      <c r="X116" s="96"/>
      <c r="Y116" s="1371" t="str">
        <f t="shared" ref="Y116:Y130" ca="1" si="22">IF(AND(MONTH($B$1)=MONTH(AC116),DAY($B$1)=DAY(AC116)),1, " ")</f>
        <v xml:space="preserve"> </v>
      </c>
      <c r="Z116" s="1380">
        <v>1</v>
      </c>
      <c r="AA116" s="1400" t="s">
        <v>836</v>
      </c>
      <c r="AB116" s="1406" t="s">
        <v>1103</v>
      </c>
      <c r="AC116" s="2026">
        <v>26666</v>
      </c>
      <c r="AD116" s="1796">
        <f t="shared" ref="AD116:AD128" si="23">MONTH(AC116)</f>
        <v>1</v>
      </c>
      <c r="AE116" s="2005">
        <f t="shared" ref="AE116:AE125" ca="1" si="24">IF(MONTH(TODAY())&lt;MONTH(AC116),YEAR(TODAY())-YEAR(AC116)-1,IF(MONTH(TODAY())=MONTH(AC116),IF(DAY(TODAY())&lt;DAY(AC116),YEAR(TODAY())-YEAR(AC116),YEAR(TODAY())-YEAR(AC116)-1),YEAR(TODAY())-YEAR(AC116)))</f>
        <v>47</v>
      </c>
      <c r="AF116" s="1384"/>
      <c r="AG116" s="1372"/>
    </row>
    <row r="117" spans="2:34" ht="12.2" customHeight="1">
      <c r="B117" s="641"/>
      <c r="C117" s="880" t="s">
        <v>2976</v>
      </c>
      <c r="D117" s="885" t="s">
        <v>3688</v>
      </c>
      <c r="E117" s="884"/>
      <c r="F117" s="882"/>
      <c r="G117" s="883"/>
      <c r="H117" s="886"/>
      <c r="I117" s="669" t="s">
        <v>380</v>
      </c>
      <c r="J117" s="647"/>
      <c r="K117" s="75"/>
      <c r="L117" s="75"/>
      <c r="N117" s="76"/>
      <c r="O117" s="1199"/>
      <c r="P117" s="76"/>
      <c r="Q117" s="93"/>
      <c r="R117" s="648"/>
      <c r="S117" s="76"/>
      <c r="T117" s="76"/>
      <c r="X117" s="96"/>
      <c r="Y117" s="1371" t="str">
        <f t="shared" ca="1" si="22"/>
        <v xml:space="preserve"> </v>
      </c>
      <c r="Z117" s="1380">
        <v>2</v>
      </c>
      <c r="AA117" s="1400"/>
      <c r="AB117" s="1370" t="s">
        <v>1496</v>
      </c>
      <c r="AC117" s="2026">
        <v>17976</v>
      </c>
      <c r="AD117" s="1796">
        <f>MONTH(AC117)</f>
        <v>3</v>
      </c>
      <c r="AE117" s="2005">
        <f ca="1">IF(MONTH(TODAY())&lt;MONTH(AC117),YEAR(TODAY())-YEAR(AC117)-1,IF(MONTH(TODAY())=MONTH(AC117),IF(DAY(TODAY())&gt;DAY(AC117),YEAR(TODAY())-YEAR(AC117),YEAR(TODAY())-YEAR(AC117)-1),YEAR(TODAY())-YEAR(AC117)))</f>
        <v>70</v>
      </c>
      <c r="AF117" s="1384"/>
      <c r="AG117" s="1372"/>
      <c r="AH117" s="96"/>
    </row>
    <row r="118" spans="2:34" ht="12.2" customHeight="1">
      <c r="B118" s="641"/>
      <c r="C118" s="880" t="s">
        <v>2976</v>
      </c>
      <c r="D118" s="885" t="s">
        <v>4238</v>
      </c>
      <c r="E118" s="884"/>
      <c r="F118" s="882"/>
      <c r="G118" s="883"/>
      <c r="H118" s="886"/>
      <c r="I118" s="888" t="s">
        <v>1183</v>
      </c>
      <c r="J118" s="888"/>
      <c r="K118" s="886"/>
      <c r="L118" s="75"/>
      <c r="N118" s="76"/>
      <c r="O118" s="1199"/>
      <c r="P118" s="76"/>
      <c r="Q118" s="93"/>
      <c r="R118" s="648"/>
      <c r="S118" s="76"/>
      <c r="T118" s="76"/>
      <c r="X118" s="96"/>
      <c r="Y118" s="1371" t="str">
        <f t="shared" ca="1" si="22"/>
        <v xml:space="preserve"> </v>
      </c>
      <c r="Z118" s="1380">
        <v>3</v>
      </c>
      <c r="AA118" s="1400"/>
      <c r="AB118" s="1370" t="s">
        <v>3272</v>
      </c>
      <c r="AC118" s="2026">
        <v>35511</v>
      </c>
      <c r="AD118" s="1796">
        <f t="shared" si="23"/>
        <v>3</v>
      </c>
      <c r="AE118" s="2005">
        <f t="shared" ca="1" si="24"/>
        <v>23</v>
      </c>
      <c r="AF118" s="1384"/>
      <c r="AG118" s="1372"/>
      <c r="AH118" s="96"/>
    </row>
    <row r="119" spans="2:34" ht="12.2" customHeight="1">
      <c r="B119" s="641"/>
      <c r="C119" s="880" t="s">
        <v>3755</v>
      </c>
      <c r="D119" s="885" t="s">
        <v>1914</v>
      </c>
      <c r="E119" s="884"/>
      <c r="F119" s="882"/>
      <c r="G119" s="883"/>
      <c r="H119" s="886"/>
      <c r="I119" s="888" t="s">
        <v>4824</v>
      </c>
      <c r="J119" s="888"/>
      <c r="K119" s="886"/>
      <c r="L119" s="75"/>
      <c r="N119" s="76"/>
      <c r="O119" s="1199"/>
      <c r="P119" s="76"/>
      <c r="Q119" s="93"/>
      <c r="R119" s="648"/>
      <c r="S119" s="76"/>
      <c r="T119" s="76"/>
      <c r="X119" s="96"/>
      <c r="Y119" s="1371" t="str">
        <f t="shared" ca="1" si="22"/>
        <v xml:space="preserve"> </v>
      </c>
      <c r="Z119" s="1380">
        <v>4</v>
      </c>
      <c r="AA119" s="1400"/>
      <c r="AB119" s="1370" t="s">
        <v>4176</v>
      </c>
      <c r="AC119" s="2026">
        <v>19107</v>
      </c>
      <c r="AD119" s="1796">
        <f t="shared" si="23"/>
        <v>4</v>
      </c>
      <c r="AE119" s="2005">
        <f t="shared" ca="1" si="24"/>
        <v>67</v>
      </c>
      <c r="AF119" s="1384"/>
      <c r="AG119" s="1372"/>
      <c r="AH119" s="96"/>
    </row>
    <row r="120" spans="2:34" ht="12.2" customHeight="1">
      <c r="B120" s="641"/>
      <c r="C120" s="880" t="s">
        <v>3755</v>
      </c>
      <c r="D120" s="885" t="s">
        <v>1891</v>
      </c>
      <c r="E120" s="884"/>
      <c r="F120" s="882"/>
      <c r="G120" s="883"/>
      <c r="H120" s="886"/>
      <c r="I120" s="14" t="s">
        <v>3983</v>
      </c>
      <c r="J120" s="888"/>
      <c r="K120" s="886"/>
      <c r="L120" s="75"/>
      <c r="N120" s="76"/>
      <c r="O120" s="1199"/>
      <c r="P120" s="76"/>
      <c r="Q120" s="93"/>
      <c r="R120" s="648"/>
      <c r="S120" s="76"/>
      <c r="T120" s="76"/>
      <c r="X120" s="96"/>
      <c r="Y120" s="1371" t="str">
        <f t="shared" ca="1" si="22"/>
        <v xml:space="preserve"> </v>
      </c>
      <c r="Z120" s="1380">
        <v>5</v>
      </c>
      <c r="AA120" s="1400"/>
      <c r="AB120" s="1370" t="s">
        <v>2576</v>
      </c>
      <c r="AC120" s="2026">
        <v>30089</v>
      </c>
      <c r="AD120" s="1796">
        <f t="shared" si="23"/>
        <v>5</v>
      </c>
      <c r="AE120" s="2005">
        <f t="shared" ca="1" si="24"/>
        <v>37</v>
      </c>
      <c r="AF120" s="1384"/>
      <c r="AG120" s="1372"/>
      <c r="AH120" s="96"/>
    </row>
    <row r="121" spans="2:34" ht="12.2" customHeight="1">
      <c r="B121" s="641"/>
      <c r="C121" s="880" t="s">
        <v>3755</v>
      </c>
      <c r="D121" s="885" t="s">
        <v>4726</v>
      </c>
      <c r="E121" s="881"/>
      <c r="F121" s="882"/>
      <c r="G121" s="883"/>
      <c r="H121" s="886"/>
      <c r="J121" s="888"/>
      <c r="K121" s="886"/>
      <c r="L121" s="75"/>
      <c r="N121" s="76"/>
      <c r="O121" s="1199"/>
      <c r="P121" s="76"/>
      <c r="Q121" s="93"/>
      <c r="R121" s="648"/>
      <c r="S121" s="76"/>
      <c r="T121" s="76"/>
      <c r="X121" s="96"/>
      <c r="Y121" s="1371" t="str">
        <f t="shared" ca="1" si="22"/>
        <v xml:space="preserve"> </v>
      </c>
      <c r="Z121" s="1380">
        <v>6</v>
      </c>
      <c r="AA121" s="1400"/>
      <c r="AB121" s="1370" t="s">
        <v>193</v>
      </c>
      <c r="AC121" s="2026">
        <v>22130</v>
      </c>
      <c r="AD121" s="1796">
        <f t="shared" si="23"/>
        <v>8</v>
      </c>
      <c r="AE121" s="2005">
        <f t="shared" ca="1" si="24"/>
        <v>59</v>
      </c>
      <c r="AF121" s="1384"/>
      <c r="AG121" s="1372" t="s">
        <v>4873</v>
      </c>
      <c r="AH121" s="96"/>
    </row>
    <row r="122" spans="2:34" ht="12.2" customHeight="1">
      <c r="B122" s="641"/>
      <c r="C122" s="880" t="s">
        <v>2976</v>
      </c>
      <c r="D122" s="885" t="s">
        <v>4190</v>
      </c>
      <c r="E122" s="881"/>
      <c r="F122" s="882"/>
      <c r="G122" s="883"/>
      <c r="H122" s="886"/>
      <c r="I122" s="877" t="s">
        <v>4137</v>
      </c>
      <c r="J122" s="888"/>
      <c r="K122" s="886"/>
      <c r="L122" s="75"/>
      <c r="N122" s="76"/>
      <c r="O122" s="1199"/>
      <c r="P122" s="76"/>
      <c r="Q122" s="93"/>
      <c r="R122" s="648"/>
      <c r="S122" s="76"/>
      <c r="T122" s="76"/>
      <c r="X122" s="96"/>
      <c r="Y122" s="1371" t="str">
        <f t="shared" ca="1" si="22"/>
        <v xml:space="preserve"> </v>
      </c>
      <c r="Z122" s="1380">
        <v>7</v>
      </c>
      <c r="AA122" s="1400"/>
      <c r="AB122" s="1370" t="s">
        <v>3045</v>
      </c>
      <c r="AC122" s="2026">
        <v>29481</v>
      </c>
      <c r="AD122" s="1796">
        <f t="shared" si="23"/>
        <v>9</v>
      </c>
      <c r="AE122" s="2005">
        <f t="shared" ca="1" si="24"/>
        <v>39</v>
      </c>
      <c r="AF122" s="1384"/>
      <c r="AG122" s="1372"/>
      <c r="AH122" s="96"/>
    </row>
    <row r="123" spans="2:34" ht="12.2" customHeight="1">
      <c r="B123" s="641"/>
      <c r="C123" s="880" t="s">
        <v>2976</v>
      </c>
      <c r="D123" s="885" t="s">
        <v>443</v>
      </c>
      <c r="E123" s="881"/>
      <c r="F123" s="882"/>
      <c r="G123" s="883"/>
      <c r="H123" s="886"/>
      <c r="I123" s="669" t="s">
        <v>2324</v>
      </c>
      <c r="J123" s="888"/>
      <c r="K123" s="886"/>
      <c r="L123" s="75"/>
      <c r="N123" s="76"/>
      <c r="O123" s="1199"/>
      <c r="P123" s="76"/>
      <c r="Q123" s="93"/>
      <c r="R123" s="648"/>
      <c r="S123" s="76"/>
      <c r="T123" s="76"/>
      <c r="X123" s="96"/>
      <c r="Y123" s="1371" t="str">
        <f t="shared" ca="1" si="22"/>
        <v xml:space="preserve"> </v>
      </c>
      <c r="Z123" s="1380">
        <v>8</v>
      </c>
      <c r="AA123" s="1400"/>
      <c r="AB123" s="1370" t="s">
        <v>4128</v>
      </c>
      <c r="AC123" s="2026">
        <v>37586</v>
      </c>
      <c r="AD123" s="1796">
        <f t="shared" si="23"/>
        <v>11</v>
      </c>
      <c r="AE123" s="2005">
        <f ca="1">IF(MONTH(TODAY())&lt;MONTH(AC123),YEAR(TODAY())-YEAR(AC123)-1,IF(MONTH(TODAY())=MONTH(AC123),IF(DAY(TODAY())&lt;DAY(AC123),YEAR(TODAY())-YEAR(AC123),YEAR(TODAY())-YEAR(AC123)-1),YEAR(TODAY())-YEAR(AC123)))</f>
        <v>17</v>
      </c>
      <c r="AF123" s="1384"/>
      <c r="AG123" s="1372"/>
      <c r="AH123" s="96"/>
    </row>
    <row r="124" spans="2:34" ht="14.25" customHeight="1">
      <c r="B124" s="641"/>
      <c r="C124" s="880" t="s">
        <v>3756</v>
      </c>
      <c r="D124" s="885" t="s">
        <v>287</v>
      </c>
      <c r="E124" s="881"/>
      <c r="F124" s="882"/>
      <c r="G124" s="883"/>
      <c r="H124" s="886"/>
      <c r="I124" s="887"/>
      <c r="J124" s="888"/>
      <c r="K124" s="886"/>
      <c r="L124" s="75"/>
      <c r="N124" s="76"/>
      <c r="O124" s="1199"/>
      <c r="P124" s="76"/>
      <c r="Q124" s="93"/>
      <c r="R124" s="648"/>
      <c r="S124" s="76"/>
      <c r="T124" s="76"/>
      <c r="U124">
        <v>30</v>
      </c>
      <c r="X124" s="96"/>
      <c r="Y124" s="1371" t="str">
        <f t="shared" ca="1" si="22"/>
        <v xml:space="preserve"> </v>
      </c>
      <c r="Z124" s="1380">
        <v>9</v>
      </c>
      <c r="AA124" s="1400"/>
      <c r="AB124" s="1370" t="s">
        <v>4037</v>
      </c>
      <c r="AC124" s="2026">
        <v>40079</v>
      </c>
      <c r="AD124" s="1796">
        <f t="shared" si="23"/>
        <v>9</v>
      </c>
      <c r="AE124" s="2005">
        <f t="shared" ca="1" si="24"/>
        <v>10</v>
      </c>
      <c r="AF124" s="1384"/>
      <c r="AG124" s="1372"/>
      <c r="AH124" s="96"/>
    </row>
    <row r="125" spans="2:34" ht="14.25" customHeight="1">
      <c r="B125" s="641"/>
      <c r="C125" s="880" t="s">
        <v>3756</v>
      </c>
      <c r="D125" s="885" t="s">
        <v>4738</v>
      </c>
      <c r="E125" s="881"/>
      <c r="F125" s="882"/>
      <c r="G125" s="883"/>
      <c r="H125" s="886"/>
      <c r="I125" s="887"/>
      <c r="J125" s="888"/>
      <c r="K125" s="886"/>
      <c r="L125" s="75"/>
      <c r="N125" s="76"/>
      <c r="O125" s="1199"/>
      <c r="P125" s="76"/>
      <c r="Q125" s="93"/>
      <c r="R125" s="648"/>
      <c r="S125" s="76"/>
      <c r="T125" s="76"/>
      <c r="U125">
        <v>17</v>
      </c>
      <c r="X125" s="96"/>
      <c r="Y125" s="1371" t="str">
        <f t="shared" ca="1" si="22"/>
        <v xml:space="preserve"> </v>
      </c>
      <c r="Z125" s="1380">
        <v>10</v>
      </c>
      <c r="AA125" s="1400"/>
      <c r="AB125" s="1370" t="s">
        <v>1648</v>
      </c>
      <c r="AC125" s="2026">
        <v>32175</v>
      </c>
      <c r="AD125" s="1796">
        <f t="shared" si="23"/>
        <v>2</v>
      </c>
      <c r="AE125" s="2005">
        <f t="shared" ca="1" si="24"/>
        <v>32</v>
      </c>
      <c r="AF125" s="1384"/>
      <c r="AG125" s="1372"/>
      <c r="AH125" s="96"/>
    </row>
    <row r="126" spans="2:34" ht="14.25" customHeight="1">
      <c r="B126" s="641"/>
      <c r="C126" s="880" t="s">
        <v>4074</v>
      </c>
      <c r="D126" s="885" t="s">
        <v>3757</v>
      </c>
      <c r="E126" s="881"/>
      <c r="F126" s="882"/>
      <c r="G126" s="883"/>
      <c r="H126" s="886"/>
      <c r="I126" s="887"/>
      <c r="J126" s="888"/>
      <c r="K126" s="886"/>
      <c r="L126" s="75"/>
      <c r="N126" s="76"/>
      <c r="O126" s="1199"/>
      <c r="P126" s="76"/>
      <c r="Q126" s="93"/>
      <c r="R126" s="648"/>
      <c r="S126" s="76"/>
      <c r="T126" s="76"/>
      <c r="U126">
        <f>+U124-U125+1</f>
        <v>14</v>
      </c>
      <c r="Y126" s="1371" t="str">
        <f t="shared" ca="1" si="22"/>
        <v xml:space="preserve"> </v>
      </c>
      <c r="Z126" s="2011">
        <v>11</v>
      </c>
      <c r="AA126" s="2012" t="s">
        <v>401</v>
      </c>
      <c r="AB126" s="2013" t="s">
        <v>3516</v>
      </c>
      <c r="AC126" s="2028">
        <v>31307</v>
      </c>
      <c r="AD126" s="1796">
        <f t="shared" si="23"/>
        <v>9</v>
      </c>
      <c r="AE126" s="2005">
        <f ca="1">IF(MONTH(TODAY())&lt;MONTH(AC126),YEAR(TODAY())-YEAR(AC126)-1,IF(MONTH(TODAY())=MONTH(AC126),IF(DAY(TODAY())&lt;DAY(AC126),YEAR(TODAY())-YEAR(AC126),YEAR(TODAY())-YEAR(AC126)-1),YEAR(TODAY())-YEAR(AC126)))</f>
        <v>34</v>
      </c>
      <c r="AF126" s="2016"/>
      <c r="AG126" s="2017" t="s">
        <v>400</v>
      </c>
      <c r="AH126" s="96"/>
    </row>
    <row r="127" spans="2:34" ht="14.25" customHeight="1">
      <c r="B127" s="641"/>
      <c r="C127" s="880" t="s">
        <v>2976</v>
      </c>
      <c r="D127" s="878" t="s">
        <v>2138</v>
      </c>
      <c r="E127" s="881"/>
      <c r="F127" s="882"/>
      <c r="G127" s="883"/>
      <c r="H127" s="886"/>
      <c r="I127" s="877" t="s">
        <v>2111</v>
      </c>
      <c r="J127" s="888"/>
      <c r="K127" s="886"/>
      <c r="L127" s="75"/>
      <c r="N127" s="76"/>
      <c r="O127" s="1199"/>
      <c r="P127" s="76"/>
      <c r="Q127" s="93"/>
      <c r="R127" s="648"/>
      <c r="S127" s="1080">
        <v>40132</v>
      </c>
      <c r="T127" s="1080"/>
      <c r="Y127" s="1371" t="str">
        <f t="shared" ca="1" si="22"/>
        <v xml:space="preserve"> </v>
      </c>
      <c r="Z127" s="2011">
        <v>12</v>
      </c>
      <c r="AA127" s="2012" t="s">
        <v>4943</v>
      </c>
      <c r="AB127" s="2013" t="s">
        <v>4942</v>
      </c>
      <c r="AC127" s="2028">
        <v>41560</v>
      </c>
      <c r="AD127" s="2014">
        <f t="shared" si="23"/>
        <v>10</v>
      </c>
      <c r="AE127" s="2015">
        <f ca="1">IF(MONTH(TODAY())&lt;MONTH(AC127),YEAR(TODAY())-YEAR(AC127)-1,IF(MONTH(TODAY())=MONTH(AC127),IF(DAY(TODAY())&lt;DAY(AC127),YEAR(TODAY())-YEAR(AC127),YEAR(TODAY())-YEAR(AC127)-1),YEAR(TODAY())-YEAR(AC127)))</f>
        <v>6</v>
      </c>
      <c r="AF127" s="2016"/>
      <c r="AG127" s="2017" t="s">
        <v>4944</v>
      </c>
      <c r="AH127" s="96"/>
    </row>
    <row r="128" spans="2:34" ht="14.25" customHeight="1">
      <c r="B128" s="641"/>
      <c r="C128" s="880" t="s">
        <v>3756</v>
      </c>
      <c r="D128" s="885" t="s">
        <v>3348</v>
      </c>
      <c r="E128" s="881"/>
      <c r="F128" s="882"/>
      <c r="G128" s="883"/>
      <c r="H128" s="886"/>
      <c r="I128" s="888" t="s">
        <v>2318</v>
      </c>
      <c r="J128" s="888"/>
      <c r="K128" s="886"/>
      <c r="L128" s="75"/>
      <c r="N128" s="76"/>
      <c r="O128" s="1199"/>
      <c r="P128" s="93" t="s">
        <v>3959</v>
      </c>
      <c r="Q128" s="93"/>
      <c r="R128" s="648"/>
      <c r="S128" s="76" t="s">
        <v>557</v>
      </c>
      <c r="T128" s="76"/>
      <c r="U128">
        <f>12*4+6</f>
        <v>54</v>
      </c>
      <c r="Y128" s="2010" t="str">
        <f t="shared" ca="1" si="22"/>
        <v xml:space="preserve"> </v>
      </c>
      <c r="Z128" s="2011">
        <v>13</v>
      </c>
      <c r="AA128" s="2012" t="s">
        <v>1647</v>
      </c>
      <c r="AB128" s="2013" t="s">
        <v>1646</v>
      </c>
      <c r="AC128" s="2028">
        <v>31772</v>
      </c>
      <c r="AD128" s="2014">
        <f t="shared" si="23"/>
        <v>12</v>
      </c>
      <c r="AE128" s="2015">
        <f ca="1">IF(MONTH(TODAY())&lt;MONTH(AC128),YEAR(TODAY())-YEAR(AC128)-1,IF(MONTH(TODAY())=MONTH(AC128),IF(DAY(TODAY())&lt;DAY(AC128),YEAR(TODAY())-YEAR(AC128),YEAR(TODAY())-YEAR(AC128)-1),YEAR(TODAY())-YEAR(AC128)))</f>
        <v>33</v>
      </c>
      <c r="AF128" s="2016"/>
      <c r="AG128" s="2017"/>
      <c r="AH128" s="96"/>
    </row>
    <row r="129" spans="2:34" ht="14.25" customHeight="1">
      <c r="B129" s="641"/>
      <c r="C129" s="880"/>
      <c r="D129" s="885"/>
      <c r="E129" s="881"/>
      <c r="F129" s="882"/>
      <c r="G129" s="883"/>
      <c r="H129" s="886"/>
      <c r="I129" s="887"/>
      <c r="J129" s="888"/>
      <c r="K129" s="886"/>
      <c r="L129" s="75"/>
      <c r="N129" s="76"/>
      <c r="O129" s="1199"/>
      <c r="P129" s="93">
        <v>20</v>
      </c>
      <c r="Q129" s="93"/>
      <c r="R129" s="648"/>
      <c r="S129" s="76" t="s">
        <v>2603</v>
      </c>
      <c r="T129" s="76"/>
      <c r="U129">
        <v>95</v>
      </c>
      <c r="Y129" s="2010"/>
      <c r="Z129" s="2011">
        <v>14</v>
      </c>
      <c r="AA129" s="2012"/>
      <c r="AB129" s="2013"/>
      <c r="AC129" s="2028"/>
      <c r="AD129" s="2014"/>
      <c r="AE129" s="2015"/>
      <c r="AF129" s="2016"/>
      <c r="AG129" s="2017"/>
      <c r="AH129" s="96"/>
    </row>
    <row r="130" spans="2:34" ht="14.25" customHeight="1" thickBot="1">
      <c r="B130" s="641"/>
      <c r="C130" s="880"/>
      <c r="D130" s="885"/>
      <c r="E130" s="881"/>
      <c r="F130" s="882"/>
      <c r="G130" s="883"/>
      <c r="H130" s="886"/>
      <c r="I130" s="887"/>
      <c r="J130" s="888"/>
      <c r="K130" s="886"/>
      <c r="L130" s="75"/>
      <c r="N130" s="76"/>
      <c r="O130" s="1199"/>
      <c r="P130" s="93" t="s">
        <v>2399</v>
      </c>
      <c r="Q130" s="93"/>
      <c r="R130" s="648"/>
      <c r="S130" s="76" t="s">
        <v>4113</v>
      </c>
      <c r="T130" s="76"/>
      <c r="U130" s="146">
        <f>150.2*2.98</f>
        <v>447.59599999999995</v>
      </c>
      <c r="Y130" s="1373" t="str">
        <f t="shared" ca="1" si="22"/>
        <v xml:space="preserve"> </v>
      </c>
      <c r="Z130" s="1382">
        <v>15</v>
      </c>
      <c r="AA130" s="1401"/>
      <c r="AB130" s="1374"/>
      <c r="AC130" s="2027"/>
      <c r="AD130" s="1375"/>
      <c r="AE130" s="2009"/>
      <c r="AF130" s="1385"/>
      <c r="AG130" s="1376"/>
    </row>
    <row r="131" spans="2:34" ht="14.25" customHeight="1">
      <c r="B131" s="641"/>
      <c r="C131" s="879"/>
      <c r="D131" s="1467"/>
      <c r="E131" s="1468"/>
      <c r="F131" s="1469"/>
      <c r="G131" s="883"/>
      <c r="H131" s="886"/>
      <c r="I131" s="887"/>
      <c r="J131" s="888"/>
      <c r="K131" s="886"/>
      <c r="L131" s="75"/>
      <c r="P131" s="93" t="s">
        <v>5014</v>
      </c>
      <c r="Q131" s="93"/>
      <c r="R131" s="648"/>
      <c r="S131" s="76" t="s">
        <v>2131</v>
      </c>
      <c r="T131" s="76"/>
      <c r="U131" s="146">
        <f>40*2.98</f>
        <v>119.2</v>
      </c>
      <c r="Y131" s="1362">
        <f ca="1">SUM(Y116:Y130)</f>
        <v>0</v>
      </c>
      <c r="Z131" s="1377"/>
      <c r="AA131" s="1398"/>
      <c r="AB131" s="1363"/>
      <c r="AC131" s="1367" t="s">
        <v>205</v>
      </c>
      <c r="AD131" s="1367"/>
      <c r="AE131" s="2002"/>
      <c r="AF131" s="1386"/>
      <c r="AG131" s="1364"/>
    </row>
    <row r="132" spans="2:34" ht="14.25" customHeight="1" thickBot="1">
      <c r="B132" s="641"/>
      <c r="C132" s="879"/>
      <c r="D132" s="880"/>
      <c r="E132" s="881"/>
      <c r="F132" s="882"/>
      <c r="G132" s="883"/>
      <c r="H132" s="886"/>
      <c r="I132" s="887"/>
      <c r="J132" s="888"/>
      <c r="K132" s="886"/>
      <c r="L132" s="75"/>
      <c r="P132" s="93" t="s">
        <v>3960</v>
      </c>
      <c r="Q132" s="93"/>
      <c r="S132" s="76" t="s">
        <v>4112</v>
      </c>
      <c r="T132" s="76"/>
      <c r="U132" s="146">
        <f>15*2.98</f>
        <v>44.7</v>
      </c>
      <c r="Y132" s="1365"/>
      <c r="Z132" s="1378"/>
      <c r="AA132" s="1402"/>
      <c r="AB132" s="1369" t="s">
        <v>222</v>
      </c>
      <c r="AC132" s="1381">
        <v>1</v>
      </c>
      <c r="AD132" s="1381"/>
      <c r="AE132" s="2003"/>
      <c r="AF132" s="1368" t="str">
        <f ca="1">IF(Y131=1,DGET(Y115:AG130,AB115,AC131:AC132),IF(Y131=0," ",CONCATENATE("Hay ",Y131," Cumpleaños")))</f>
        <v xml:space="preserve"> </v>
      </c>
      <c r="AG132" s="1366"/>
    </row>
    <row r="133" spans="2:34" ht="14.25" customHeight="1">
      <c r="B133" s="641"/>
      <c r="C133" s="879"/>
      <c r="D133" s="880"/>
      <c r="E133" s="881"/>
      <c r="F133" s="882"/>
      <c r="G133" s="883"/>
      <c r="H133" s="886"/>
      <c r="I133" s="887"/>
      <c r="J133" s="888"/>
      <c r="K133" s="886"/>
      <c r="L133" s="75"/>
      <c r="R133" s="635"/>
      <c r="S133" s="76" t="s">
        <v>558</v>
      </c>
      <c r="T133" s="76"/>
      <c r="U133">
        <v>200</v>
      </c>
      <c r="AA133" s="1404"/>
    </row>
    <row r="134" spans="2:34" ht="14.25" customHeight="1">
      <c r="C134" s="13"/>
      <c r="D134" s="484"/>
      <c r="E134" s="889"/>
      <c r="F134" s="890"/>
      <c r="G134" s="890"/>
      <c r="H134" s="890"/>
      <c r="I134" s="13"/>
      <c r="J134" s="13"/>
      <c r="K134" s="890"/>
      <c r="R134" s="8"/>
      <c r="S134" s="76"/>
      <c r="T134" s="76"/>
      <c r="U134" s="1082">
        <f>SUM(U128:U133)</f>
        <v>960.49600000000009</v>
      </c>
    </row>
    <row r="135" spans="2:34" ht="14.25" customHeight="1">
      <c r="D135" s="295" t="s">
        <v>2711</v>
      </c>
      <c r="E135" s="295"/>
      <c r="F135" s="295"/>
      <c r="G135" s="295"/>
      <c r="H135" s="295"/>
      <c r="I135" s="295"/>
      <c r="J135" s="295"/>
      <c r="K135" s="295"/>
      <c r="R135" s="8"/>
      <c r="S135" s="76"/>
      <c r="T135" s="76"/>
      <c r="U135" s="1083">
        <v>975.35</v>
      </c>
    </row>
    <row r="136" spans="2:34">
      <c r="P136" s="1342">
        <v>1927108</v>
      </c>
      <c r="R136" s="8"/>
      <c r="S136" s="76"/>
      <c r="T136" s="76"/>
      <c r="U136" s="1081">
        <f>+U135-U134</f>
        <v>14.853999999999928</v>
      </c>
    </row>
    <row r="137" spans="2:34">
      <c r="D137" s="484" t="s">
        <v>762</v>
      </c>
      <c r="E137" s="624" t="s">
        <v>2193</v>
      </c>
      <c r="F137" s="8" t="s">
        <v>954</v>
      </c>
      <c r="H137" s="8" t="s">
        <v>491</v>
      </c>
      <c r="I137" s="504" t="s">
        <v>2712</v>
      </c>
      <c r="J137" s="3898" t="s">
        <v>953</v>
      </c>
      <c r="K137" s="3898"/>
      <c r="P137" s="1342">
        <v>1865827</v>
      </c>
      <c r="R137" s="8"/>
      <c r="S137" s="76"/>
      <c r="T137" s="76"/>
    </row>
    <row r="138" spans="2:34" ht="15">
      <c r="D138" s="624">
        <v>39723</v>
      </c>
      <c r="E138" s="136">
        <v>7</v>
      </c>
      <c r="F138" s="8">
        <v>121199</v>
      </c>
      <c r="H138">
        <v>1</v>
      </c>
      <c r="I138" s="623">
        <f>+F138-F139</f>
        <v>203</v>
      </c>
      <c r="J138" s="626">
        <f>+I138/E138</f>
        <v>29</v>
      </c>
      <c r="K138" s="3849">
        <f>+I149/E149</f>
        <v>25.908333333333335</v>
      </c>
      <c r="P138" s="1342">
        <v>2001234</v>
      </c>
      <c r="Q138" s="636"/>
    </row>
    <row r="139" spans="2:34" ht="15">
      <c r="D139" s="624">
        <v>39720</v>
      </c>
      <c r="E139" s="136">
        <v>9</v>
      </c>
      <c r="F139" s="8">
        <v>120996</v>
      </c>
      <c r="H139">
        <v>2</v>
      </c>
      <c r="I139" s="623">
        <f t="shared" ref="I139:I147" si="25">+F139-F140</f>
        <v>288</v>
      </c>
      <c r="J139" s="626">
        <f t="shared" ref="J139:J147" si="26">+I139/E139</f>
        <v>32</v>
      </c>
      <c r="K139" s="3850"/>
      <c r="P139" s="1342">
        <v>1136870</v>
      </c>
      <c r="R139" s="635"/>
      <c r="S139" s="637"/>
      <c r="T139" s="637"/>
      <c r="U139">
        <v>66</v>
      </c>
    </row>
    <row r="140" spans="2:34" ht="15">
      <c r="D140" s="624">
        <v>39716</v>
      </c>
      <c r="E140" s="136">
        <v>8</v>
      </c>
      <c r="F140" s="8">
        <v>120708</v>
      </c>
      <c r="H140">
        <v>3</v>
      </c>
      <c r="I140" s="623">
        <f t="shared" si="25"/>
        <v>208</v>
      </c>
      <c r="J140" s="626">
        <f t="shared" si="26"/>
        <v>26</v>
      </c>
      <c r="K140" s="3850"/>
      <c r="P140" s="1342">
        <v>1057529</v>
      </c>
      <c r="U140">
        <f>+U139*1.19</f>
        <v>78.539999999999992</v>
      </c>
    </row>
    <row r="141" spans="2:34" ht="15">
      <c r="D141" s="624">
        <v>39714</v>
      </c>
      <c r="E141" s="136">
        <v>13</v>
      </c>
      <c r="F141" s="8">
        <v>120500</v>
      </c>
      <c r="H141">
        <v>4</v>
      </c>
      <c r="I141" s="623">
        <f t="shared" si="25"/>
        <v>387</v>
      </c>
      <c r="J141" s="626">
        <f t="shared" si="26"/>
        <v>29.76923076923077</v>
      </c>
      <c r="K141" s="3850"/>
      <c r="P141" s="1342">
        <f>SUM(P136:P140)</f>
        <v>7988568</v>
      </c>
      <c r="U141">
        <f>+U140*2.98</f>
        <v>234.04919999999998</v>
      </c>
    </row>
    <row r="142" spans="2:34" ht="15">
      <c r="D142" s="624">
        <v>39709</v>
      </c>
      <c r="E142" s="136">
        <v>8</v>
      </c>
      <c r="F142" s="8">
        <v>120113</v>
      </c>
      <c r="H142">
        <v>5</v>
      </c>
      <c r="I142" s="623">
        <f t="shared" si="25"/>
        <v>227</v>
      </c>
      <c r="J142" s="626">
        <f t="shared" si="26"/>
        <v>28.375</v>
      </c>
      <c r="K142" s="3850"/>
    </row>
    <row r="143" spans="2:34" ht="15">
      <c r="D143" s="624">
        <v>39707</v>
      </c>
      <c r="E143" s="136">
        <v>16.8</v>
      </c>
      <c r="F143" s="8">
        <v>119886</v>
      </c>
      <c r="G143">
        <v>886</v>
      </c>
      <c r="H143">
        <v>6</v>
      </c>
      <c r="I143" s="623">
        <f t="shared" si="25"/>
        <v>425</v>
      </c>
      <c r="J143" s="626">
        <f t="shared" si="26"/>
        <v>25.297619047619047</v>
      </c>
      <c r="K143" s="3850"/>
    </row>
    <row r="144" spans="2:34" ht="15">
      <c r="D144" s="624">
        <v>39702</v>
      </c>
      <c r="E144" s="136">
        <v>10</v>
      </c>
      <c r="F144" s="8">
        <v>119461</v>
      </c>
      <c r="H144">
        <v>7</v>
      </c>
      <c r="I144" s="623">
        <f t="shared" si="25"/>
        <v>300</v>
      </c>
      <c r="J144" s="626">
        <f t="shared" si="26"/>
        <v>30</v>
      </c>
      <c r="K144" s="3850"/>
    </row>
    <row r="145" spans="3:17" ht="15">
      <c r="D145" s="624">
        <v>39699</v>
      </c>
      <c r="E145" s="136">
        <v>15</v>
      </c>
      <c r="F145" s="8">
        <v>119161</v>
      </c>
      <c r="H145">
        <v>8</v>
      </c>
      <c r="I145" s="623">
        <f t="shared" si="25"/>
        <v>546</v>
      </c>
      <c r="J145" s="626">
        <f t="shared" si="26"/>
        <v>36.4</v>
      </c>
      <c r="K145" s="3850"/>
    </row>
    <row r="146" spans="3:17" ht="15">
      <c r="D146" s="624">
        <v>39692</v>
      </c>
      <c r="E146" s="136">
        <v>6.2</v>
      </c>
      <c r="F146" s="8">
        <v>118615</v>
      </c>
      <c r="H146">
        <v>9</v>
      </c>
      <c r="I146" s="623">
        <f t="shared" si="25"/>
        <v>115</v>
      </c>
      <c r="J146" s="626">
        <f t="shared" si="26"/>
        <v>18.548387096774192</v>
      </c>
      <c r="K146" s="3850"/>
    </row>
    <row r="147" spans="3:17" ht="15">
      <c r="D147" s="624">
        <v>39687</v>
      </c>
      <c r="E147" s="136">
        <v>14</v>
      </c>
      <c r="F147" s="8">
        <v>118500</v>
      </c>
      <c r="H147">
        <v>10</v>
      </c>
      <c r="I147" s="623">
        <f t="shared" si="25"/>
        <v>410</v>
      </c>
      <c r="J147" s="626">
        <f t="shared" si="26"/>
        <v>29.285714285714285</v>
      </c>
      <c r="K147" s="3850"/>
    </row>
    <row r="148" spans="3:17" ht="15">
      <c r="D148" s="624">
        <v>39681</v>
      </c>
      <c r="E148" s="136">
        <v>13</v>
      </c>
      <c r="F148" s="8">
        <v>118090</v>
      </c>
      <c r="K148" s="8"/>
    </row>
    <row r="149" spans="3:17" ht="15">
      <c r="D149" s="638" t="s">
        <v>952</v>
      </c>
      <c r="E149" s="621">
        <f>SUM(E138:E148)</f>
        <v>120</v>
      </c>
      <c r="F149" s="8"/>
      <c r="H149" s="7" t="s">
        <v>3512</v>
      </c>
      <c r="I149" s="622">
        <f>SUM(I138:I148)</f>
        <v>3109</v>
      </c>
      <c r="J149" s="14"/>
      <c r="K149" s="625">
        <v>39724</v>
      </c>
      <c r="P149" s="212" t="s">
        <v>466</v>
      </c>
      <c r="Q149" s="93"/>
    </row>
    <row r="150" spans="3:17" ht="15">
      <c r="D150" s="624"/>
      <c r="E150" s="136"/>
      <c r="F150" s="8"/>
      <c r="P150" s="1095">
        <f>365/12</f>
        <v>30.416666666666668</v>
      </c>
      <c r="Q150" s="1195"/>
    </row>
    <row r="151" spans="3:17" ht="15">
      <c r="D151" s="624"/>
      <c r="E151" s="136"/>
      <c r="F151" s="8"/>
      <c r="I151" s="1096" t="s">
        <v>3382</v>
      </c>
      <c r="J151" s="1097"/>
      <c r="K151" s="305"/>
      <c r="L151" s="1090" t="s">
        <v>3383</v>
      </c>
    </row>
    <row r="152" spans="3:17" ht="15">
      <c r="D152" s="624"/>
      <c r="E152" s="136"/>
      <c r="F152" s="8"/>
      <c r="I152" s="3846" t="s">
        <v>3520</v>
      </c>
      <c r="J152" s="3846"/>
      <c r="K152" s="3846"/>
      <c r="L152" s="148">
        <v>39859</v>
      </c>
    </row>
    <row r="153" spans="3:17" ht="15">
      <c r="D153" s="624"/>
      <c r="E153" s="136"/>
      <c r="F153" s="8"/>
      <c r="I153" s="3846" t="s">
        <v>3521</v>
      </c>
      <c r="J153" s="3846"/>
      <c r="K153" s="3846"/>
      <c r="L153" s="148">
        <v>40116</v>
      </c>
    </row>
    <row r="154" spans="3:17" ht="15">
      <c r="D154" s="624"/>
      <c r="E154" s="136"/>
      <c r="F154" s="8"/>
      <c r="I154" s="3846" t="s">
        <v>3384</v>
      </c>
      <c r="J154" s="3846"/>
      <c r="K154" s="3846"/>
      <c r="L154" s="154">
        <f>+L153-L152+1</f>
        <v>258</v>
      </c>
    </row>
    <row r="155" spans="3:17" ht="15">
      <c r="E155" s="136"/>
      <c r="I155" s="3846" t="s">
        <v>3238</v>
      </c>
      <c r="J155" s="3846"/>
      <c r="K155" s="3846"/>
      <c r="L155" s="149">
        <f>+L154/30.42</f>
        <v>8.4812623274161734</v>
      </c>
    </row>
    <row r="156" spans="3:17" ht="15">
      <c r="E156" s="136"/>
      <c r="I156" s="1098" t="s">
        <v>3457</v>
      </c>
    </row>
    <row r="158" spans="3:17" ht="15">
      <c r="C158" s="136">
        <v>6.9</v>
      </c>
      <c r="D158" s="639"/>
      <c r="E158" s="136">
        <f t="shared" ref="E158:E169" si="27">+C158*$D$171/$C$171</f>
        <v>6.8456906729633999</v>
      </c>
      <c r="F158" s="90"/>
      <c r="I158" s="3846" t="s">
        <v>3520</v>
      </c>
      <c r="J158" s="3846"/>
      <c r="K158" s="3846"/>
      <c r="L158" s="148">
        <v>39025</v>
      </c>
    </row>
    <row r="159" spans="3:17" ht="15">
      <c r="C159" s="136">
        <v>2.5</v>
      </c>
      <c r="D159" s="639"/>
      <c r="E159" s="136">
        <f t="shared" si="27"/>
        <v>2.4803227075954348</v>
      </c>
      <c r="F159" s="90"/>
      <c r="I159" s="3846" t="s">
        <v>3521</v>
      </c>
      <c r="J159" s="3846"/>
      <c r="K159" s="3846"/>
      <c r="L159" s="148">
        <f ca="1">TODAY()</f>
        <v>43895</v>
      </c>
    </row>
    <row r="160" spans="3:17" ht="15">
      <c r="C160" s="136">
        <v>0.76</v>
      </c>
      <c r="D160" s="639"/>
      <c r="E160" s="136">
        <f t="shared" si="27"/>
        <v>0.75401810310901218</v>
      </c>
      <c r="F160" s="90"/>
      <c r="I160" s="3846" t="s">
        <v>315</v>
      </c>
      <c r="J160" s="3846"/>
      <c r="K160" s="3846"/>
      <c r="L160" s="154">
        <f ca="1">+L159-L158</f>
        <v>4870</v>
      </c>
    </row>
    <row r="161" spans="3:12" ht="15">
      <c r="C161" s="136">
        <v>3.5</v>
      </c>
      <c r="D161" s="639"/>
      <c r="E161" s="136">
        <f t="shared" si="27"/>
        <v>3.4724517906336083</v>
      </c>
      <c r="F161" s="90"/>
      <c r="I161" s="3846" t="s">
        <v>3238</v>
      </c>
      <c r="J161" s="3846"/>
      <c r="K161" s="3846"/>
      <c r="L161" s="149">
        <f ca="1">+L160/30</f>
        <v>162.33333333333334</v>
      </c>
    </row>
    <row r="162" spans="3:12" ht="15">
      <c r="C162" s="136">
        <v>1.37</v>
      </c>
      <c r="D162" s="639"/>
      <c r="E162" s="136">
        <f t="shared" si="27"/>
        <v>1.3592168437622982</v>
      </c>
      <c r="F162" s="90"/>
      <c r="L162" s="147"/>
    </row>
    <row r="163" spans="3:12" ht="15">
      <c r="C163" s="136">
        <v>2.0499999999999998</v>
      </c>
      <c r="D163" s="639"/>
      <c r="E163" s="136">
        <f t="shared" si="27"/>
        <v>2.0338646202282562</v>
      </c>
      <c r="F163" s="90"/>
      <c r="L163" s="147"/>
    </row>
    <row r="164" spans="3:12" ht="15">
      <c r="C164" s="136">
        <v>5.47</v>
      </c>
      <c r="D164" s="639"/>
      <c r="E164" s="136">
        <f t="shared" si="27"/>
        <v>5.4269460842188106</v>
      </c>
      <c r="F164" s="90"/>
      <c r="I164" s="306">
        <v>39098</v>
      </c>
    </row>
    <row r="165" spans="3:12" ht="15">
      <c r="C165" s="136">
        <v>0.32</v>
      </c>
      <c r="D165" s="639"/>
      <c r="E165" s="136">
        <f t="shared" si="27"/>
        <v>0.31748130657221563</v>
      </c>
      <c r="F165" s="90"/>
      <c r="I165" s="306">
        <v>39263</v>
      </c>
    </row>
    <row r="166" spans="3:12" ht="15">
      <c r="C166" s="136">
        <v>0.41</v>
      </c>
      <c r="D166" s="639"/>
      <c r="E166" s="136">
        <f t="shared" si="27"/>
        <v>0.40677292404565124</v>
      </c>
      <c r="F166" s="90"/>
      <c r="I166" s="307">
        <f>+I165-I164+1</f>
        <v>166</v>
      </c>
    </row>
    <row r="167" spans="3:12" ht="15">
      <c r="C167" s="136">
        <v>0.17</v>
      </c>
      <c r="D167" s="639"/>
      <c r="E167" s="136">
        <f t="shared" si="27"/>
        <v>0.16866194411648955</v>
      </c>
      <c r="F167" s="90"/>
    </row>
    <row r="168" spans="3:12" ht="15">
      <c r="C168" s="136">
        <v>0.17</v>
      </c>
      <c r="D168" s="639"/>
      <c r="E168" s="136">
        <f t="shared" si="27"/>
        <v>0.16866194411648955</v>
      </c>
      <c r="F168" s="90"/>
      <c r="I168" s="14">
        <v>57.2</v>
      </c>
      <c r="L168" s="147"/>
    </row>
    <row r="169" spans="3:12" ht="15">
      <c r="C169" s="136">
        <v>1.79</v>
      </c>
      <c r="D169" s="639"/>
      <c r="E169" s="136">
        <f t="shared" si="27"/>
        <v>1.7759110586383311</v>
      </c>
      <c r="F169" s="90"/>
      <c r="L169" s="147"/>
    </row>
    <row r="170" spans="3:12" ht="15">
      <c r="C170" s="136"/>
      <c r="D170" s="639"/>
      <c r="E170" s="136"/>
      <c r="F170" s="90"/>
      <c r="I170" s="14">
        <v>100</v>
      </c>
    </row>
    <row r="171" spans="3:12" ht="15">
      <c r="C171" s="136">
        <f>SUM(C158:C170)</f>
        <v>25.410000000000004</v>
      </c>
      <c r="D171" s="639">
        <v>25.21</v>
      </c>
      <c r="E171" s="136">
        <f>SUM(E158:E169)</f>
        <v>25.209999999999997</v>
      </c>
      <c r="F171" s="90"/>
      <c r="L171" s="90">
        <v>616151.69999999995</v>
      </c>
    </row>
    <row r="172" spans="3:12">
      <c r="C172" s="135"/>
      <c r="D172" s="640"/>
      <c r="E172" s="90"/>
      <c r="F172" s="90"/>
      <c r="J172" s="12">
        <f>32+69</f>
        <v>101</v>
      </c>
      <c r="K172">
        <f>32+69</f>
        <v>101</v>
      </c>
      <c r="L172" s="90">
        <v>616236.80000000005</v>
      </c>
    </row>
    <row r="173" spans="3:12">
      <c r="C173" s="135"/>
      <c r="D173" s="640"/>
      <c r="E173" s="90"/>
      <c r="F173" s="90"/>
      <c r="K173" s="462"/>
      <c r="L173" s="471">
        <f>+L172-L171</f>
        <v>85.100000000093132</v>
      </c>
    </row>
    <row r="174" spans="3:12">
      <c r="C174" s="135"/>
      <c r="D174" s="640"/>
      <c r="E174" s="90"/>
      <c r="F174" s="90"/>
      <c r="K174" s="462"/>
      <c r="L174" s="90"/>
    </row>
    <row r="175" spans="3:12">
      <c r="C175" s="135">
        <v>113</v>
      </c>
      <c r="D175" s="640"/>
      <c r="E175" s="90"/>
      <c r="F175" s="90"/>
      <c r="K175" s="462"/>
      <c r="L175" s="90"/>
    </row>
    <row r="176" spans="3:12">
      <c r="C176" s="135">
        <v>1468</v>
      </c>
      <c r="I176" s="14">
        <v>301</v>
      </c>
      <c r="L176" s="90"/>
    </row>
    <row r="177" spans="3:12">
      <c r="C177" s="135">
        <v>1</v>
      </c>
      <c r="I177" s="14">
        <v>2.86</v>
      </c>
      <c r="L177" s="90"/>
    </row>
    <row r="178" spans="3:12">
      <c r="C178" s="470">
        <f>SUM(C175:C177)</f>
        <v>1582</v>
      </c>
      <c r="L178" s="90"/>
    </row>
    <row r="179" spans="3:12" ht="15">
      <c r="C179" s="469"/>
      <c r="I179" s="14">
        <f>+I177*I176</f>
        <v>860.86</v>
      </c>
      <c r="L179" s="90"/>
    </row>
    <row r="180" spans="3:12">
      <c r="C180" s="135">
        <v>160</v>
      </c>
      <c r="L180" s="90"/>
    </row>
    <row r="181" spans="3:12">
      <c r="C181" s="135"/>
      <c r="I181" s="14">
        <v>300</v>
      </c>
      <c r="L181" s="90"/>
    </row>
    <row r="182" spans="3:12">
      <c r="C182" s="135">
        <f>+C180+C178</f>
        <v>1742</v>
      </c>
      <c r="I182" s="14">
        <f>+I181/I177</f>
        <v>104.89510489510489</v>
      </c>
      <c r="L182" s="90"/>
    </row>
    <row r="183" spans="3:12">
      <c r="C183" s="135"/>
      <c r="L183" s="90"/>
    </row>
    <row r="184" spans="3:12">
      <c r="C184" s="1">
        <v>139</v>
      </c>
      <c r="D184" s="504" t="s">
        <v>1585</v>
      </c>
      <c r="E184" s="4">
        <v>39935</v>
      </c>
      <c r="L184" s="90"/>
    </row>
    <row r="185" spans="3:12">
      <c r="C185" s="675">
        <f>+C184*0.19</f>
        <v>26.41</v>
      </c>
      <c r="D185" s="504" t="s">
        <v>2295</v>
      </c>
      <c r="L185" s="90"/>
    </row>
    <row r="186" spans="3:12">
      <c r="C186" s="1">
        <f>+C185+C184</f>
        <v>165.41</v>
      </c>
      <c r="D186" s="504" t="s">
        <v>2296</v>
      </c>
      <c r="L186" s="90"/>
    </row>
    <row r="187" spans="3:12">
      <c r="L187" s="90"/>
    </row>
    <row r="188" spans="3:12">
      <c r="L188" s="90"/>
    </row>
    <row r="189" spans="3:12">
      <c r="L189" s="90"/>
    </row>
    <row r="190" spans="3:12">
      <c r="L190" s="90"/>
    </row>
    <row r="191" spans="3:12">
      <c r="L191" s="90"/>
    </row>
    <row r="192" spans="3:12" ht="5.45" customHeight="1">
      <c r="L192" s="90"/>
    </row>
    <row r="193" spans="2:12">
      <c r="L193" s="90"/>
    </row>
    <row r="194" spans="2:12">
      <c r="L194" s="90"/>
    </row>
    <row r="195" spans="2:12" ht="5.45" customHeight="1">
      <c r="L195" s="90"/>
    </row>
    <row r="196" spans="2:12">
      <c r="L196" s="90"/>
    </row>
    <row r="197" spans="2:12">
      <c r="C197" s="1045" t="s">
        <v>2392</v>
      </c>
      <c r="L197" s="90"/>
    </row>
    <row r="198" spans="2:12">
      <c r="C198" s="135"/>
      <c r="E198" s="1"/>
      <c r="L198" s="90"/>
    </row>
    <row r="199" spans="2:12">
      <c r="C199" s="135">
        <v>0.26</v>
      </c>
      <c r="D199" s="504" t="s">
        <v>2393</v>
      </c>
      <c r="E199" s="1"/>
      <c r="L199" s="90"/>
    </row>
    <row r="200" spans="2:12">
      <c r="C200" s="135">
        <v>2.2000000000000002</v>
      </c>
      <c r="D200" s="504" t="s">
        <v>2394</v>
      </c>
      <c r="E200" s="1"/>
      <c r="L200" s="90"/>
    </row>
    <row r="201" spans="2:12">
      <c r="C201" s="135">
        <f>25/4.5</f>
        <v>5.5555555555555554</v>
      </c>
      <c r="D201" s="504" t="s">
        <v>2395</v>
      </c>
      <c r="L201" s="90"/>
    </row>
    <row r="202" spans="2:12">
      <c r="C202" s="135">
        <v>0.02</v>
      </c>
      <c r="D202" s="504" t="s">
        <v>4608</v>
      </c>
      <c r="J202" s="461"/>
      <c r="K202" s="462"/>
      <c r="L202" s="90"/>
    </row>
    <row r="203" spans="2:12" ht="15">
      <c r="C203" s="1043">
        <f>SUM(C199:C202)</f>
        <v>8.035555555555554</v>
      </c>
      <c r="D203" s="1044" t="s">
        <v>2568</v>
      </c>
      <c r="J203" s="461"/>
      <c r="K203" s="462"/>
      <c r="L203" s="90"/>
    </row>
    <row r="204" spans="2:12">
      <c r="B204" s="360" t="s">
        <v>3483</v>
      </c>
      <c r="C204" s="470">
        <v>11</v>
      </c>
      <c r="D204" s="504" t="s">
        <v>3482</v>
      </c>
      <c r="E204" s="470">
        <f>+C204*50</f>
        <v>550</v>
      </c>
      <c r="I204" s="307"/>
      <c r="J204" s="461"/>
      <c r="K204" s="461"/>
      <c r="L204" s="90"/>
    </row>
    <row r="205" spans="2:12">
      <c r="C205" s="1046" t="s">
        <v>1325</v>
      </c>
    </row>
    <row r="206" spans="2:12">
      <c r="C206" s="1046" t="s">
        <v>1326</v>
      </c>
    </row>
    <row r="207" spans="2:12">
      <c r="C207" s="1046" t="s">
        <v>1327</v>
      </c>
    </row>
    <row r="208" spans="2:12">
      <c r="C208" s="1046" t="s">
        <v>1275</v>
      </c>
    </row>
    <row r="209" spans="3:3">
      <c r="C209" s="1046" t="s">
        <v>3781</v>
      </c>
    </row>
    <row r="210" spans="3:3">
      <c r="C210" s="1046" t="s">
        <v>4053</v>
      </c>
    </row>
    <row r="211" spans="3:3">
      <c r="C211" s="1046" t="s">
        <v>3878</v>
      </c>
    </row>
    <row r="212" spans="3:3">
      <c r="C212" s="1046" t="s">
        <v>4836</v>
      </c>
    </row>
    <row r="213" spans="3:3">
      <c r="C213" s="1046" t="s">
        <v>1655</v>
      </c>
    </row>
    <row r="214" spans="3:3">
      <c r="C214" s="1046"/>
    </row>
    <row r="215" spans="3:3">
      <c r="C215" s="1046" t="s">
        <v>2153</v>
      </c>
    </row>
    <row r="216" spans="3:3">
      <c r="C216" s="1046" t="s">
        <v>2509</v>
      </c>
    </row>
    <row r="217" spans="3:3">
      <c r="C217" s="1046"/>
    </row>
    <row r="218" spans="3:3">
      <c r="C218" s="1046" t="s">
        <v>2624</v>
      </c>
    </row>
    <row r="219" spans="3:3">
      <c r="C219" s="1046" t="s">
        <v>3557</v>
      </c>
    </row>
    <row r="220" spans="3:3">
      <c r="C220" s="1046" t="s">
        <v>1886</v>
      </c>
    </row>
    <row r="221" spans="3:3">
      <c r="C221" s="1046"/>
    </row>
    <row r="222" spans="3:3">
      <c r="C222" s="1046" t="s">
        <v>232</v>
      </c>
    </row>
    <row r="223" spans="3:3">
      <c r="C223" s="1046"/>
    </row>
    <row r="224" spans="3:3">
      <c r="C224" s="1046" t="s">
        <v>3011</v>
      </c>
    </row>
    <row r="225" spans="3:3">
      <c r="C225" s="1046" t="s">
        <v>4825</v>
      </c>
    </row>
    <row r="226" spans="3:3">
      <c r="C226" s="1046"/>
    </row>
    <row r="227" spans="3:3">
      <c r="C227" s="1046" t="s">
        <v>4109</v>
      </c>
    </row>
    <row r="228" spans="3:3">
      <c r="C228" s="1046" t="s">
        <v>662</v>
      </c>
    </row>
    <row r="229" spans="3:3">
      <c r="C229" s="1046" t="s">
        <v>519</v>
      </c>
    </row>
    <row r="230" spans="3:3">
      <c r="C230" s="1046" t="s">
        <v>2212</v>
      </c>
    </row>
    <row r="231" spans="3:3">
      <c r="C231" s="1046"/>
    </row>
    <row r="232" spans="3:3">
      <c r="C232" s="1046" t="s">
        <v>1324</v>
      </c>
    </row>
    <row r="233" spans="3:3">
      <c r="C233" s="1046" t="s">
        <v>3021</v>
      </c>
    </row>
    <row r="234" spans="3:3">
      <c r="C234" s="1046"/>
    </row>
    <row r="235" spans="3:3">
      <c r="C235" s="1046" t="s">
        <v>4787</v>
      </c>
    </row>
    <row r="236" spans="3:3">
      <c r="C236" s="1046" t="s">
        <v>1334</v>
      </c>
    </row>
    <row r="237" spans="3:3">
      <c r="C237" s="1046" t="s">
        <v>3938</v>
      </c>
    </row>
    <row r="238" spans="3:3">
      <c r="C238" s="1046"/>
    </row>
    <row r="239" spans="3:3">
      <c r="C239" s="1046" t="s">
        <v>1226</v>
      </c>
    </row>
    <row r="240" spans="3:3">
      <c r="C240" s="1046"/>
    </row>
    <row r="241" spans="2:14">
      <c r="C241" s="1046" t="s">
        <v>4399</v>
      </c>
    </row>
    <row r="242" spans="2:14">
      <c r="C242" s="1046" t="s">
        <v>1874</v>
      </c>
    </row>
    <row r="243" spans="2:14">
      <c r="C243" s="1046" t="s">
        <v>3748</v>
      </c>
    </row>
    <row r="244" spans="2:14">
      <c r="C244" s="1046"/>
      <c r="N244" s="1275"/>
    </row>
    <row r="245" spans="2:14">
      <c r="C245" s="1046" t="s">
        <v>2537</v>
      </c>
      <c r="N245" s="296"/>
    </row>
    <row r="246" spans="2:14">
      <c r="N246" s="296"/>
    </row>
    <row r="247" spans="2:14">
      <c r="C247" s="1277" t="s">
        <v>2413</v>
      </c>
      <c r="D247" s="661"/>
      <c r="E247" s="662"/>
      <c r="F247" s="140"/>
      <c r="G247" s="140"/>
      <c r="H247" s="140"/>
      <c r="I247" s="1278"/>
      <c r="J247" s="1170"/>
      <c r="K247" s="140"/>
      <c r="L247" s="140"/>
      <c r="M247" s="140"/>
      <c r="N247" s="296"/>
    </row>
    <row r="248" spans="2:14">
      <c r="C248" s="1279" t="s">
        <v>3307</v>
      </c>
      <c r="D248" s="654"/>
      <c r="E248" s="667"/>
      <c r="F248" s="75"/>
      <c r="G248" s="75"/>
      <c r="H248" s="75"/>
      <c r="I248" s="1280"/>
      <c r="J248" s="647"/>
      <c r="K248" s="75"/>
      <c r="L248" s="75"/>
      <c r="M248" s="75"/>
      <c r="N248" s="296"/>
    </row>
    <row r="249" spans="2:14">
      <c r="C249" s="1279" t="s">
        <v>2905</v>
      </c>
      <c r="D249" s="654"/>
      <c r="E249" s="667"/>
      <c r="F249" s="75"/>
      <c r="G249" s="75"/>
      <c r="H249" s="75"/>
      <c r="I249" s="1280"/>
      <c r="J249" s="647"/>
      <c r="K249" s="75"/>
      <c r="L249" s="75"/>
      <c r="M249" s="75"/>
      <c r="N249" s="1276"/>
    </row>
    <row r="250" spans="2:14" ht="76.5">
      <c r="C250" s="1281" t="s">
        <v>2484</v>
      </c>
      <c r="D250" s="1466" t="s">
        <v>3946</v>
      </c>
      <c r="E250" s="1466"/>
      <c r="F250" s="1466"/>
      <c r="G250" s="1466"/>
      <c r="H250" s="1466"/>
      <c r="I250" s="1466"/>
      <c r="J250" s="1466"/>
      <c r="K250" s="75"/>
      <c r="L250" s="75"/>
      <c r="M250" s="75"/>
    </row>
    <row r="251" spans="2:14" ht="51">
      <c r="C251" s="1281"/>
      <c r="D251" s="1466" t="s">
        <v>3783</v>
      </c>
      <c r="E251" s="1466"/>
      <c r="F251" s="1466"/>
      <c r="G251" s="1466"/>
      <c r="H251" s="1466"/>
      <c r="I251" s="1466"/>
      <c r="J251" s="1466"/>
      <c r="K251" s="75"/>
      <c r="L251" s="75"/>
      <c r="M251" s="75"/>
    </row>
    <row r="252" spans="2:14">
      <c r="C252" s="1282" t="s">
        <v>3784</v>
      </c>
      <c r="D252" s="1283" t="s">
        <v>3785</v>
      </c>
      <c r="E252" s="80"/>
      <c r="F252" s="80"/>
      <c r="G252" s="80"/>
      <c r="H252" s="80"/>
      <c r="I252" s="1284"/>
      <c r="J252" s="1176"/>
      <c r="K252" s="80"/>
      <c r="L252" s="80"/>
      <c r="M252" s="80"/>
    </row>
    <row r="253" spans="2:14" ht="12.75" customHeight="1"/>
    <row r="254" spans="2:14" ht="12.75" customHeight="1"/>
    <row r="255" spans="2:14" ht="15" thickBot="1"/>
    <row r="256" spans="2:14" ht="15.75" thickBot="1">
      <c r="B256" s="925" t="s">
        <v>3590</v>
      </c>
      <c r="C256" s="926" t="s">
        <v>3591</v>
      </c>
      <c r="D256" s="927" t="s">
        <v>2269</v>
      </c>
      <c r="E256" s="929" t="s">
        <v>288</v>
      </c>
      <c r="F256" s="928" t="s">
        <v>1381</v>
      </c>
    </row>
    <row r="257" spans="2:10" ht="15.75">
      <c r="B257" s="1452">
        <v>101</v>
      </c>
      <c r="C257" s="1455" t="s">
        <v>2270</v>
      </c>
      <c r="D257" s="823" t="s">
        <v>3181</v>
      </c>
      <c r="E257" s="1463">
        <v>40725</v>
      </c>
      <c r="F257" s="1214" t="str">
        <f t="shared" ref="F257:F265" ca="1" si="28">IF(E257&lt;$A$1,"VENCIDO",E257-$A$1)</f>
        <v>VENCIDO</v>
      </c>
    </row>
    <row r="258" spans="2:10" ht="15.75">
      <c r="B258" s="1453">
        <v>105</v>
      </c>
      <c r="C258" s="1456" t="s">
        <v>672</v>
      </c>
      <c r="D258" s="10" t="s">
        <v>3181</v>
      </c>
      <c r="E258" s="1464">
        <v>40725</v>
      </c>
      <c r="F258" s="1215" t="str">
        <f t="shared" ca="1" si="28"/>
        <v>VENCIDO</v>
      </c>
    </row>
    <row r="259" spans="2:10" ht="15.75">
      <c r="B259" s="1453">
        <v>106</v>
      </c>
      <c r="C259" s="1456" t="s">
        <v>3798</v>
      </c>
      <c r="D259" s="10" t="s">
        <v>3181</v>
      </c>
      <c r="E259" s="1464">
        <v>40725</v>
      </c>
      <c r="F259" s="1215" t="str">
        <f t="shared" ca="1" si="28"/>
        <v>VENCIDO</v>
      </c>
    </row>
    <row r="260" spans="2:10" ht="15.75">
      <c r="B260" s="1453">
        <v>111</v>
      </c>
      <c r="C260" s="1456" t="s">
        <v>4926</v>
      </c>
      <c r="D260" s="10" t="s">
        <v>3181</v>
      </c>
      <c r="E260" s="1464">
        <v>40725</v>
      </c>
      <c r="F260" s="1215" t="str">
        <f t="shared" ca="1" si="28"/>
        <v>VENCIDO</v>
      </c>
    </row>
    <row r="261" spans="2:10" ht="15.75">
      <c r="B261" s="1453">
        <v>114</v>
      </c>
      <c r="C261" s="1456" t="s">
        <v>1257</v>
      </c>
      <c r="D261" s="10" t="s">
        <v>3181</v>
      </c>
      <c r="E261" s="1464">
        <v>40725</v>
      </c>
      <c r="F261" s="1215" t="str">
        <f t="shared" ca="1" si="28"/>
        <v>VENCIDO</v>
      </c>
    </row>
    <row r="262" spans="2:10" ht="16.5" thickBot="1">
      <c r="B262" s="1453">
        <v>119</v>
      </c>
      <c r="C262" s="1456" t="s">
        <v>4890</v>
      </c>
      <c r="D262" s="10" t="s">
        <v>3181</v>
      </c>
      <c r="E262" s="1464">
        <v>40725</v>
      </c>
      <c r="F262" s="1215" t="str">
        <f t="shared" ca="1" si="28"/>
        <v>VENCIDO</v>
      </c>
    </row>
    <row r="263" spans="2:10" ht="16.5" thickBot="1">
      <c r="B263" s="1453">
        <v>122</v>
      </c>
      <c r="C263" s="1456" t="s">
        <v>1749</v>
      </c>
      <c r="D263" s="10" t="s">
        <v>3181</v>
      </c>
      <c r="E263" s="1464">
        <v>40725</v>
      </c>
      <c r="F263" s="1462" t="str">
        <f t="shared" ca="1" si="28"/>
        <v>VENCIDO</v>
      </c>
      <c r="G263" s="1458" t="s">
        <v>2121</v>
      </c>
      <c r="H263" s="1459"/>
      <c r="I263" s="1460"/>
      <c r="J263" s="1461"/>
    </row>
    <row r="264" spans="2:10" ht="15.75">
      <c r="B264" s="1452">
        <v>123</v>
      </c>
      <c r="C264" s="1455" t="s">
        <v>813</v>
      </c>
      <c r="D264" s="823" t="s">
        <v>3181</v>
      </c>
      <c r="E264" s="1463">
        <v>40725</v>
      </c>
      <c r="F264" s="1214" t="str">
        <f t="shared" ca="1" si="28"/>
        <v>VENCIDO</v>
      </c>
    </row>
    <row r="265" spans="2:10" ht="15.75">
      <c r="B265" s="1453">
        <v>124</v>
      </c>
      <c r="C265" s="1456" t="s">
        <v>814</v>
      </c>
      <c r="D265" s="10" t="s">
        <v>3181</v>
      </c>
      <c r="E265" s="1464">
        <v>40725</v>
      </c>
      <c r="F265" s="1215" t="str">
        <f t="shared" ca="1" si="28"/>
        <v>VENCIDO</v>
      </c>
    </row>
    <row r="266" spans="2:10" ht="15.75">
      <c r="B266" s="1452">
        <v>151</v>
      </c>
      <c r="C266" s="1455" t="s">
        <v>815</v>
      </c>
      <c r="D266" s="823" t="s">
        <v>3181</v>
      </c>
      <c r="E266" s="1463">
        <v>40725</v>
      </c>
      <c r="F266" s="1218" t="str">
        <f t="shared" ref="F266:F281" ca="1" si="29">IF(E266&lt;$A$1,"VENCIDO",E266-$A$1)</f>
        <v>VENCIDO</v>
      </c>
    </row>
    <row r="267" spans="2:10" ht="15.75">
      <c r="B267" s="1453">
        <v>153</v>
      </c>
      <c r="C267" s="1456" t="s">
        <v>2837</v>
      </c>
      <c r="D267" s="10" t="s">
        <v>3181</v>
      </c>
      <c r="E267" s="1464">
        <v>40725</v>
      </c>
      <c r="F267" s="1219" t="str">
        <f t="shared" ca="1" si="29"/>
        <v>VENCIDO</v>
      </c>
    </row>
    <row r="268" spans="2:10" ht="15.75">
      <c r="B268" s="1453">
        <v>154</v>
      </c>
      <c r="C268" s="1456" t="s">
        <v>1555</v>
      </c>
      <c r="D268" s="10" t="s">
        <v>3181</v>
      </c>
      <c r="E268" s="1464">
        <v>40725</v>
      </c>
      <c r="F268" s="1219" t="str">
        <f t="shared" ca="1" si="29"/>
        <v>VENCIDO</v>
      </c>
    </row>
    <row r="269" spans="2:10" ht="15.95" customHeight="1">
      <c r="B269" s="1453">
        <v>156</v>
      </c>
      <c r="C269" s="1456" t="s">
        <v>130</v>
      </c>
      <c r="D269" s="10" t="s">
        <v>3181</v>
      </c>
      <c r="E269" s="1464">
        <v>40725</v>
      </c>
      <c r="F269" s="1219" t="str">
        <f t="shared" ca="1" si="29"/>
        <v>VENCIDO</v>
      </c>
    </row>
    <row r="270" spans="2:10" ht="15.75">
      <c r="B270" s="1453">
        <v>157</v>
      </c>
      <c r="C270" s="1456" t="s">
        <v>131</v>
      </c>
      <c r="D270" s="10" t="s">
        <v>3181</v>
      </c>
      <c r="E270" s="1464">
        <v>40725</v>
      </c>
      <c r="F270" s="1219" t="str">
        <f t="shared" ca="1" si="29"/>
        <v>VENCIDO</v>
      </c>
    </row>
    <row r="271" spans="2:10" ht="15.75">
      <c r="B271" s="1453">
        <v>158</v>
      </c>
      <c r="C271" s="1456" t="s">
        <v>132</v>
      </c>
      <c r="D271" s="10" t="s">
        <v>3181</v>
      </c>
      <c r="E271" s="1464">
        <v>40725</v>
      </c>
      <c r="F271" s="1219" t="str">
        <f t="shared" ca="1" si="29"/>
        <v>VENCIDO</v>
      </c>
    </row>
    <row r="272" spans="2:10" ht="15.75">
      <c r="B272" s="1453">
        <v>160</v>
      </c>
      <c r="C272" s="1456" t="s">
        <v>1116</v>
      </c>
      <c r="D272" s="10" t="s">
        <v>3181</v>
      </c>
      <c r="E272" s="1464">
        <v>40725</v>
      </c>
      <c r="F272" s="1219" t="str">
        <f t="shared" ca="1" si="29"/>
        <v>VENCIDO</v>
      </c>
    </row>
    <row r="273" spans="2:6" ht="15.75">
      <c r="B273" s="1453">
        <v>161</v>
      </c>
      <c r="C273" s="1456" t="s">
        <v>1117</v>
      </c>
      <c r="D273" s="10" t="s">
        <v>3181</v>
      </c>
      <c r="E273" s="1464">
        <v>40725</v>
      </c>
      <c r="F273" s="1219" t="str">
        <f t="shared" ca="1" si="29"/>
        <v>VENCIDO</v>
      </c>
    </row>
    <row r="274" spans="2:6" ht="15.75">
      <c r="B274" s="1453">
        <v>162</v>
      </c>
      <c r="C274" s="1456" t="s">
        <v>4654</v>
      </c>
      <c r="D274" s="10" t="s">
        <v>3181</v>
      </c>
      <c r="E274" s="1464">
        <v>40725</v>
      </c>
      <c r="F274" s="1219" t="str">
        <f t="shared" ca="1" si="29"/>
        <v>VENCIDO</v>
      </c>
    </row>
    <row r="275" spans="2:6" ht="15.75">
      <c r="B275" s="1453">
        <v>163</v>
      </c>
      <c r="C275" s="1456" t="s">
        <v>4655</v>
      </c>
      <c r="D275" s="10" t="s">
        <v>3181</v>
      </c>
      <c r="E275" s="1464">
        <v>40725</v>
      </c>
      <c r="F275" s="1219" t="str">
        <f t="shared" ca="1" si="29"/>
        <v>VENCIDO</v>
      </c>
    </row>
    <row r="276" spans="2:6" ht="15.75">
      <c r="B276" s="1453">
        <v>164</v>
      </c>
      <c r="C276" s="1456" t="s">
        <v>4656</v>
      </c>
      <c r="D276" s="10" t="s">
        <v>3181</v>
      </c>
      <c r="E276" s="1464">
        <v>40725</v>
      </c>
      <c r="F276" s="1219" t="str">
        <f t="shared" ca="1" si="29"/>
        <v>VENCIDO</v>
      </c>
    </row>
    <row r="277" spans="2:6" ht="15.75">
      <c r="B277" s="1453">
        <v>165</v>
      </c>
      <c r="C277" s="1456" t="s">
        <v>4657</v>
      </c>
      <c r="D277" s="10" t="s">
        <v>3181</v>
      </c>
      <c r="E277" s="1464">
        <v>40725</v>
      </c>
      <c r="F277" s="1219" t="str">
        <f t="shared" ca="1" si="29"/>
        <v>VENCIDO</v>
      </c>
    </row>
    <row r="278" spans="2:6" ht="15.75">
      <c r="B278" s="1453">
        <v>166</v>
      </c>
      <c r="C278" s="1456" t="s">
        <v>900</v>
      </c>
      <c r="D278" s="10" t="s">
        <v>3181</v>
      </c>
      <c r="E278" s="1464">
        <v>40725</v>
      </c>
      <c r="F278" s="1219" t="str">
        <f t="shared" ca="1" si="29"/>
        <v>VENCIDO</v>
      </c>
    </row>
    <row r="279" spans="2:6" ht="15.75">
      <c r="B279" s="1453">
        <v>167</v>
      </c>
      <c r="C279" s="1456" t="s">
        <v>901</v>
      </c>
      <c r="D279" s="10" t="s">
        <v>3181</v>
      </c>
      <c r="E279" s="1464">
        <v>40725</v>
      </c>
      <c r="F279" s="1219" t="str">
        <f t="shared" ca="1" si="29"/>
        <v>VENCIDO</v>
      </c>
    </row>
    <row r="280" spans="2:6" ht="15.75">
      <c r="B280" s="1453">
        <v>169</v>
      </c>
      <c r="C280" s="1456" t="s">
        <v>903</v>
      </c>
      <c r="D280" s="10" t="s">
        <v>3181</v>
      </c>
      <c r="E280" s="1464">
        <v>40725</v>
      </c>
      <c r="F280" s="1219" t="str">
        <f t="shared" ca="1" si="29"/>
        <v>VENCIDO</v>
      </c>
    </row>
    <row r="281" spans="2:6" ht="16.5" thickBot="1">
      <c r="B281" s="1454">
        <v>170</v>
      </c>
      <c r="C281" s="1457" t="s">
        <v>904</v>
      </c>
      <c r="D281" s="851" t="s">
        <v>3181</v>
      </c>
      <c r="E281" s="1465">
        <v>40725</v>
      </c>
      <c r="F281" s="1451" t="str">
        <f t="shared" ca="1" si="29"/>
        <v>VENCIDO</v>
      </c>
    </row>
  </sheetData>
  <dataConsolidate/>
  <mergeCells count="38">
    <mergeCell ref="N32:Q32"/>
    <mergeCell ref="N33:Q33"/>
    <mergeCell ref="N34:Q34"/>
    <mergeCell ref="I154:K154"/>
    <mergeCell ref="I86:K86"/>
    <mergeCell ref="I153:K153"/>
    <mergeCell ref="H42:I42"/>
    <mergeCell ref="J137:K137"/>
    <mergeCell ref="B1:V1"/>
    <mergeCell ref="N20:P20"/>
    <mergeCell ref="N18:P18"/>
    <mergeCell ref="N19:P19"/>
    <mergeCell ref="N16:P16"/>
    <mergeCell ref="N22:P22"/>
    <mergeCell ref="T29:V29"/>
    <mergeCell ref="N28:P28"/>
    <mergeCell ref="N24:P24"/>
    <mergeCell ref="N25:P25"/>
    <mergeCell ref="N27:P27"/>
    <mergeCell ref="N29:Q29"/>
    <mergeCell ref="N26:P26"/>
    <mergeCell ref="N23:P23"/>
    <mergeCell ref="N21:P21"/>
    <mergeCell ref="I161:K161"/>
    <mergeCell ref="I155:K155"/>
    <mergeCell ref="I160:K160"/>
    <mergeCell ref="I159:K159"/>
    <mergeCell ref="I158:K158"/>
    <mergeCell ref="H43:I43"/>
    <mergeCell ref="I152:K152"/>
    <mergeCell ref="K138:K147"/>
    <mergeCell ref="I109:K109"/>
    <mergeCell ref="P61:V62"/>
    <mergeCell ref="J32:J35"/>
    <mergeCell ref="N31:V31"/>
    <mergeCell ref="R32:V32"/>
    <mergeCell ref="R34:V34"/>
    <mergeCell ref="R33:V33"/>
  </mergeCells>
  <phoneticPr fontId="0" type="noConversion"/>
  <conditionalFormatting sqref="F10 F16 F132:F133 F21 L3 S149:T158 L21:L22 E47 L8:L10 L5:L6 S138:T147 F87:F130 T19:T28 F27 F257:F281 G68:K68 F77:F85 T30 F47:F55 F24:F25 T35 T52 V3:V8 S11:S29 F13 F3 F7:F8 V11:V15 S3:S8 L12:L19 F57:F59 F63:F68">
    <cfRule type="cellIs" dxfId="14" priority="1" stopIfTrue="1" operator="notBetween">
      <formula>1</formula>
      <formula>366</formula>
    </cfRule>
    <cfRule type="cellIs" dxfId="13" priority="2" stopIfTrue="1" operator="between">
      <formula>1</formula>
      <formula>7</formula>
    </cfRule>
    <cfRule type="cellIs" dxfId="12" priority="3" stopIfTrue="1" operator="between">
      <formula>8</formula>
      <formula>366</formula>
    </cfRule>
  </conditionalFormatting>
  <conditionalFormatting sqref="F26 L4 F18 L7 L11">
    <cfRule type="cellIs" dxfId="11" priority="7" stopIfTrue="1" operator="notBetween">
      <formula>1</formula>
      <formula>366</formula>
    </cfRule>
    <cfRule type="cellIs" dxfId="10" priority="8" stopIfTrue="1" operator="between">
      <formula>1</formula>
      <formula>7</formula>
    </cfRule>
    <cfRule type="cellIs" dxfId="9" priority="9" stopIfTrue="1" operator="between">
      <formula>8</formula>
      <formula>366</formula>
    </cfRule>
  </conditionalFormatting>
  <conditionalFormatting sqref="Y60:Y78 Y28:Y47 Y83:Y92 Y97:Y111 Y116:Y130 Y3:Y23">
    <cfRule type="cellIs" dxfId="8" priority="19" stopIfTrue="1" operator="equal">
      <formula>1</formula>
    </cfRule>
  </conditionalFormatting>
  <conditionalFormatting sqref="N32:V34">
    <cfRule type="cellIs" dxfId="7" priority="20" stopIfTrue="1" operator="notEqual">
      <formula>" "</formula>
    </cfRule>
  </conditionalFormatting>
  <conditionalFormatting sqref="F4:F6 F9 F17 F19:F20 F22:F23 L20 L24 V9:V10 F11:F12 F14:F15">
    <cfRule type="cellIs" dxfId="6" priority="60" stopIfTrue="1" operator="notBetween">
      <formula>1</formula>
      <formula>366</formula>
    </cfRule>
    <cfRule type="cellIs" dxfId="5" priority="61" stopIfTrue="1" operator="between">
      <formula>1</formula>
      <formula>7</formula>
    </cfRule>
    <cfRule type="cellIs" dxfId="4" priority="62" stopIfTrue="1" operator="between">
      <formula>8</formula>
      <formula>366</formula>
    </cfRule>
  </conditionalFormatting>
  <conditionalFormatting sqref="S9:S10">
    <cfRule type="cellIs" dxfId="3" priority="81" stopIfTrue="1" operator="notBetween">
      <formula>1</formula>
      <formula>366</formula>
    </cfRule>
    <cfRule type="cellIs" dxfId="2" priority="82" stopIfTrue="1" operator="between">
      <formula>1</formula>
      <formula>7</formula>
    </cfRule>
    <cfRule type="cellIs" dxfId="1" priority="83" stopIfTrue="1" operator="between">
      <formula>8</formula>
      <formula>366</formula>
    </cfRule>
  </conditionalFormatting>
  <dataValidations disablePrompts="1" xWindow="70" yWindow="579" count="1">
    <dataValidation type="list" allowBlank="1" showInputMessage="1" showErrorMessage="1" errorTitle="Burro" error=" eso no se puede hacer, animal" promptTitle="Ingreso" prompt="Material a utilizar" sqref="D131">
      <formula1>$D$110:$D$128</formula1>
    </dataValidation>
  </dataValidations>
  <hyperlinks>
    <hyperlink ref="H53" r:id="rId1"/>
    <hyperlink ref="N18:P18" r:id="rId2" display=" Informe MENSUAL de IQPF"/>
    <hyperlink ref="N27:P27" r:id="rId3" display=" Sistema de Control de Ordenes de Pedido"/>
    <hyperlink ref="N26:P26" r:id="rId4" display=" Dominio  llacocche.com.pe"/>
    <hyperlink ref="N25:P25" r:id="rId5" display=" Dominio  transcosta.com.pe"/>
    <hyperlink ref="N20:P20" r:id="rId6" display=" INTERFAZ DE GRIFO (Diesel)"/>
    <hyperlink ref="T29" r:id="rId7"/>
    <hyperlink ref="AI25" r:id="rId8"/>
    <hyperlink ref="AI26" r:id="rId9"/>
    <hyperlink ref="AI27" r:id="rId10"/>
    <hyperlink ref="AI28" r:id="rId11"/>
    <hyperlink ref="AI29" r:id="rId12"/>
    <hyperlink ref="AI30" r:id="rId13"/>
    <hyperlink ref="AI31" r:id="rId14"/>
    <hyperlink ref="AI32" r:id="rId15"/>
    <hyperlink ref="AI33" r:id="rId16"/>
    <hyperlink ref="AI34" r:id="rId17"/>
    <hyperlink ref="AI35" r:id="rId18"/>
    <hyperlink ref="H54" r:id="rId19"/>
    <hyperlink ref="N16:P16" r:id="rId20" display=" Publicidad Registral en Línea  - SUNARP"/>
    <hyperlink ref="N17" r:id="rId21"/>
    <hyperlink ref="N21:P21" r:id="rId22" display=" SIGO-SUTRAN. (consultas)"/>
  </hyperlinks>
  <printOptions horizontalCentered="1"/>
  <pageMargins left="0.19685039370078741" right="0.19685039370078741" top="1.1811023622047245" bottom="0.19685039370078741" header="0" footer="0"/>
  <pageSetup paperSize="127" scale="145" orientation="portrait" r:id="rId23"/>
  <headerFooter alignWithMargins="0"/>
  <drawing r:id="rId24"/>
  <legacyDrawing r:id="rId25"/>
</worksheet>
</file>

<file path=xl/worksheets/sheet12.xml><?xml version="1.0" encoding="utf-8"?>
<worksheet xmlns="http://schemas.openxmlformats.org/spreadsheetml/2006/main" xmlns:r="http://schemas.openxmlformats.org/officeDocument/2006/relationships">
  <sheetPr codeName="Hoja11">
    <pageSetUpPr fitToPage="1"/>
  </sheetPr>
  <dimension ref="B1:N39"/>
  <sheetViews>
    <sheetView workbookViewId="0"/>
  </sheetViews>
  <sheetFormatPr baseColWidth="10" defaultRowHeight="12.75"/>
  <cols>
    <col min="1" max="1" width="1.7109375" customWidth="1"/>
    <col min="2" max="2" width="3.7109375" customWidth="1"/>
    <col min="3" max="3" width="7.42578125" style="1059" bestFit="1" customWidth="1"/>
    <col min="6" max="6" width="12.5703125" bestFit="1" customWidth="1"/>
    <col min="7" max="7" width="14.5703125" customWidth="1"/>
    <col min="8" max="8" width="19" customWidth="1"/>
    <col min="9" max="9" width="13.85546875" bestFit="1" customWidth="1"/>
    <col min="10" max="10" width="7" bestFit="1" customWidth="1"/>
    <col min="11" max="11" width="10.140625" bestFit="1" customWidth="1"/>
    <col min="12" max="12" width="10.42578125" bestFit="1" customWidth="1"/>
  </cols>
  <sheetData>
    <row r="1" spans="2:13">
      <c r="G1" s="1067" t="s">
        <v>971</v>
      </c>
      <c r="H1" s="528"/>
    </row>
    <row r="3" spans="2:13" s="131" customFormat="1">
      <c r="C3" s="1059"/>
      <c r="D3" s="1055" t="s">
        <v>4403</v>
      </c>
    </row>
    <row r="4" spans="2:13" s="131" customFormat="1">
      <c r="C4" s="1059"/>
      <c r="D4" s="1050" t="s">
        <v>1108</v>
      </c>
      <c r="G4" s="1076" t="s">
        <v>4341</v>
      </c>
      <c r="H4" s="1077"/>
    </row>
    <row r="5" spans="2:13" s="131" customFormat="1">
      <c r="C5" s="1059"/>
      <c r="D5" s="1050" t="s">
        <v>4493</v>
      </c>
      <c r="G5" s="1051" t="s">
        <v>1676</v>
      </c>
    </row>
    <row r="6" spans="2:13" s="131" customFormat="1">
      <c r="C6" s="1059"/>
      <c r="D6" s="1050" t="s">
        <v>1677</v>
      </c>
      <c r="G6" s="1051" t="s">
        <v>4866</v>
      </c>
    </row>
    <row r="7" spans="2:13" s="131" customFormat="1">
      <c r="C7" s="1059"/>
      <c r="D7" s="1050" t="s">
        <v>2262</v>
      </c>
      <c r="G7" s="1051" t="s">
        <v>192</v>
      </c>
    </row>
    <row r="8" spans="2:13" s="131" customFormat="1">
      <c r="C8" s="1059"/>
      <c r="D8" s="1050" t="s">
        <v>2855</v>
      </c>
      <c r="G8" s="1051" t="s">
        <v>2856</v>
      </c>
    </row>
    <row r="9" spans="2:13" s="131" customFormat="1">
      <c r="C9" s="1059"/>
      <c r="D9" s="1050" t="s">
        <v>2865</v>
      </c>
      <c r="G9" s="1051" t="s">
        <v>4805</v>
      </c>
    </row>
    <row r="10" spans="2:13" s="131" customFormat="1">
      <c r="C10" s="1059"/>
      <c r="D10" s="1050" t="s">
        <v>4806</v>
      </c>
      <c r="G10" s="1051" t="s">
        <v>4932</v>
      </c>
    </row>
    <row r="11" spans="2:13" s="131" customFormat="1">
      <c r="B11" s="131" t="s">
        <v>491</v>
      </c>
      <c r="C11" s="1060" t="s">
        <v>1835</v>
      </c>
      <c r="D11" s="1057" t="s">
        <v>1098</v>
      </c>
      <c r="E11" s="1057" t="s">
        <v>3591</v>
      </c>
      <c r="F11" s="1057" t="s">
        <v>2757</v>
      </c>
      <c r="G11" s="1057" t="s">
        <v>5004</v>
      </c>
      <c r="H11" s="1057" t="s">
        <v>4319</v>
      </c>
      <c r="I11" s="1057" t="s">
        <v>4320</v>
      </c>
      <c r="J11" s="1057" t="s">
        <v>4321</v>
      </c>
      <c r="K11" s="1056" t="s">
        <v>1520</v>
      </c>
      <c r="L11" s="1056" t="s">
        <v>4070</v>
      </c>
      <c r="M11" s="1075" t="s">
        <v>3347</v>
      </c>
    </row>
    <row r="12" spans="2:13" s="131" customFormat="1">
      <c r="C12" s="1059">
        <v>102</v>
      </c>
      <c r="D12" s="1053">
        <v>1</v>
      </c>
      <c r="E12" s="1053" t="s">
        <v>2823</v>
      </c>
      <c r="F12" s="1053" t="s">
        <v>4902</v>
      </c>
      <c r="G12" s="1053" t="s">
        <v>2830</v>
      </c>
      <c r="H12" s="1053" t="s">
        <v>4038</v>
      </c>
      <c r="I12" s="1053" t="s">
        <v>1788</v>
      </c>
      <c r="J12" s="1053" t="s">
        <v>2833</v>
      </c>
      <c r="K12" s="1054" t="s">
        <v>1202</v>
      </c>
      <c r="L12" s="1054" t="s">
        <v>4683</v>
      </c>
      <c r="M12" s="1053" t="s">
        <v>3074</v>
      </c>
    </row>
    <row r="13" spans="2:13" s="131" customFormat="1">
      <c r="C13" s="1059">
        <v>103</v>
      </c>
      <c r="D13" s="1053">
        <v>2</v>
      </c>
      <c r="E13" s="1053" t="s">
        <v>4040</v>
      </c>
      <c r="F13" s="1053" t="s">
        <v>4041</v>
      </c>
      <c r="G13" s="1053" t="s">
        <v>2830</v>
      </c>
      <c r="H13" s="1053" t="s">
        <v>4042</v>
      </c>
      <c r="I13" s="1053" t="s">
        <v>1788</v>
      </c>
      <c r="J13" s="1053" t="s">
        <v>2833</v>
      </c>
      <c r="K13" s="1054" t="s">
        <v>1202</v>
      </c>
      <c r="L13" s="1054" t="s">
        <v>4683</v>
      </c>
      <c r="M13" s="1053" t="s">
        <v>3074</v>
      </c>
    </row>
    <row r="14" spans="2:13" s="131" customFormat="1" ht="12.95" customHeight="1">
      <c r="C14" s="1059">
        <v>104</v>
      </c>
      <c r="D14" s="1053">
        <v>3</v>
      </c>
      <c r="E14" s="1053" t="s">
        <v>1834</v>
      </c>
      <c r="F14" s="1053" t="s">
        <v>2370</v>
      </c>
      <c r="G14" s="1053" t="s">
        <v>2830</v>
      </c>
      <c r="H14" s="1053" t="s">
        <v>1787</v>
      </c>
      <c r="I14" s="1053" t="s">
        <v>1788</v>
      </c>
      <c r="J14" s="1053" t="s">
        <v>2833</v>
      </c>
      <c r="K14" s="1054" t="s">
        <v>1202</v>
      </c>
      <c r="L14" s="1054" t="s">
        <v>4683</v>
      </c>
      <c r="M14" s="1053" t="s">
        <v>3074</v>
      </c>
    </row>
    <row r="15" spans="2:13" s="131" customFormat="1" ht="12.95" customHeight="1">
      <c r="C15" s="1059">
        <v>107</v>
      </c>
      <c r="D15" s="1053">
        <v>4</v>
      </c>
      <c r="E15" s="1053" t="s">
        <v>1635</v>
      </c>
      <c r="F15" s="1053" t="s">
        <v>1525</v>
      </c>
      <c r="G15" s="1053" t="s">
        <v>2830</v>
      </c>
      <c r="H15" s="1053" t="s">
        <v>118</v>
      </c>
      <c r="I15" s="1053" t="s">
        <v>2832</v>
      </c>
      <c r="J15" s="1053" t="s">
        <v>2833</v>
      </c>
      <c r="K15" s="1054" t="s">
        <v>1202</v>
      </c>
      <c r="L15" s="1054" t="s">
        <v>1016</v>
      </c>
      <c r="M15" s="1053" t="s">
        <v>3074</v>
      </c>
    </row>
    <row r="16" spans="2:13" s="131" customFormat="1" ht="12.95" hidden="1" customHeight="1">
      <c r="C16" s="1072">
        <v>109</v>
      </c>
      <c r="D16" s="1073">
        <v>5</v>
      </c>
      <c r="E16" s="1073" t="s">
        <v>397</v>
      </c>
      <c r="F16" s="1073" t="s">
        <v>1339</v>
      </c>
      <c r="G16" s="1073" t="s">
        <v>2830</v>
      </c>
      <c r="H16" s="1073" t="s">
        <v>1340</v>
      </c>
      <c r="I16" s="1073" t="s">
        <v>2832</v>
      </c>
      <c r="J16" s="1073" t="s">
        <v>2833</v>
      </c>
      <c r="K16" s="1074" t="s">
        <v>1202</v>
      </c>
      <c r="L16" s="1074" t="s">
        <v>1016</v>
      </c>
      <c r="M16" s="1053" t="s">
        <v>3074</v>
      </c>
    </row>
    <row r="17" spans="2:14" s="131" customFormat="1" ht="12.95" customHeight="1">
      <c r="C17" s="2151">
        <v>110</v>
      </c>
      <c r="D17" s="2152">
        <v>6</v>
      </c>
      <c r="E17" s="2152" t="s">
        <v>2095</v>
      </c>
      <c r="F17" s="2152" t="s">
        <v>2829</v>
      </c>
      <c r="G17" s="2152" t="s">
        <v>2830</v>
      </c>
      <c r="H17" s="2152" t="s">
        <v>2831</v>
      </c>
      <c r="I17" s="2152" t="s">
        <v>2832</v>
      </c>
      <c r="J17" s="2152" t="s">
        <v>2833</v>
      </c>
      <c r="K17" s="2153" t="s">
        <v>2834</v>
      </c>
      <c r="L17" s="2153" t="s">
        <v>666</v>
      </c>
      <c r="M17" s="2152" t="s">
        <v>3074</v>
      </c>
    </row>
    <row r="18" spans="2:14" s="131" customFormat="1" ht="12.95" customHeight="1">
      <c r="C18" s="1059">
        <v>112</v>
      </c>
      <c r="D18" s="1053">
        <v>7</v>
      </c>
      <c r="E18" s="1053" t="s">
        <v>4381</v>
      </c>
      <c r="F18" s="1053" t="s">
        <v>4382</v>
      </c>
      <c r="G18" s="1053" t="s">
        <v>2830</v>
      </c>
      <c r="H18" s="1053"/>
      <c r="I18" s="1053" t="s">
        <v>1201</v>
      </c>
      <c r="J18" s="1053" t="s">
        <v>667</v>
      </c>
      <c r="K18" s="1054" t="s">
        <v>1202</v>
      </c>
      <c r="L18" s="1054" t="s">
        <v>1203</v>
      </c>
      <c r="M18" s="1053" t="s">
        <v>3074</v>
      </c>
    </row>
    <row r="19" spans="2:14" s="131" customFormat="1">
      <c r="C19" s="1059">
        <v>113</v>
      </c>
      <c r="D19" s="1053">
        <v>8</v>
      </c>
      <c r="E19" s="1053" t="s">
        <v>3961</v>
      </c>
      <c r="F19" s="1053" t="s">
        <v>3962</v>
      </c>
      <c r="G19" s="1053" t="s">
        <v>2830</v>
      </c>
      <c r="H19" s="1053" t="s">
        <v>3963</v>
      </c>
      <c r="I19" s="1053" t="s">
        <v>1201</v>
      </c>
      <c r="J19" s="1053" t="s">
        <v>2833</v>
      </c>
      <c r="K19" s="1054" t="s">
        <v>1202</v>
      </c>
      <c r="L19" s="1054" t="s">
        <v>2518</v>
      </c>
      <c r="M19" s="1053" t="s">
        <v>3074</v>
      </c>
    </row>
    <row r="20" spans="2:14" s="131" customFormat="1">
      <c r="C20" s="1059">
        <v>115</v>
      </c>
      <c r="D20" s="1053">
        <v>9</v>
      </c>
      <c r="E20" s="1053" t="s">
        <v>393</v>
      </c>
      <c r="F20" s="1053" t="s">
        <v>394</v>
      </c>
      <c r="G20" s="1053" t="s">
        <v>2830</v>
      </c>
      <c r="H20" s="1053" t="s">
        <v>395</v>
      </c>
      <c r="I20" s="1053" t="s">
        <v>1201</v>
      </c>
      <c r="J20" s="1053" t="s">
        <v>2833</v>
      </c>
      <c r="K20" s="1054" t="s">
        <v>1202</v>
      </c>
      <c r="L20" s="1054" t="s">
        <v>2518</v>
      </c>
      <c r="M20" s="1053" t="s">
        <v>3074</v>
      </c>
    </row>
    <row r="21" spans="2:14" s="131" customFormat="1">
      <c r="C21" s="1059">
        <v>117</v>
      </c>
      <c r="D21" s="1053">
        <v>10</v>
      </c>
      <c r="E21" s="1053" t="s">
        <v>668</v>
      </c>
      <c r="F21" s="1053" t="s">
        <v>1030</v>
      </c>
      <c r="G21" s="1053" t="s">
        <v>2830</v>
      </c>
      <c r="H21" s="1053" t="s">
        <v>1031</v>
      </c>
      <c r="I21" s="1053" t="s">
        <v>1201</v>
      </c>
      <c r="J21" s="1053" t="s">
        <v>2833</v>
      </c>
      <c r="K21" s="1054" t="s">
        <v>1202</v>
      </c>
      <c r="L21" s="1054" t="s">
        <v>1203</v>
      </c>
      <c r="M21" s="1053" t="s">
        <v>3074</v>
      </c>
    </row>
    <row r="22" spans="2:14" s="131" customFormat="1">
      <c r="C22" s="1059">
        <v>118</v>
      </c>
      <c r="D22" s="1053">
        <v>11</v>
      </c>
      <c r="E22" s="1053" t="s">
        <v>2350</v>
      </c>
      <c r="F22" s="1053" t="s">
        <v>2351</v>
      </c>
      <c r="G22" s="1053" t="s">
        <v>2830</v>
      </c>
      <c r="H22" s="1053" t="s">
        <v>2904</v>
      </c>
      <c r="I22" s="1053" t="s">
        <v>1201</v>
      </c>
      <c r="J22" s="1053" t="s">
        <v>2833</v>
      </c>
      <c r="K22" s="1054" t="s">
        <v>1202</v>
      </c>
      <c r="L22" s="1054" t="s">
        <v>2518</v>
      </c>
      <c r="M22" s="1053" t="s">
        <v>3074</v>
      </c>
    </row>
    <row r="23" spans="2:14" s="131" customFormat="1">
      <c r="C23" s="1059">
        <v>120</v>
      </c>
      <c r="D23" s="1053">
        <v>12</v>
      </c>
      <c r="E23" s="1053" t="s">
        <v>120</v>
      </c>
      <c r="F23" s="1053" t="s">
        <v>4773</v>
      </c>
      <c r="G23" s="1053" t="s">
        <v>2830</v>
      </c>
      <c r="H23" s="1053" t="s">
        <v>4774</v>
      </c>
      <c r="I23" s="1053" t="s">
        <v>4775</v>
      </c>
      <c r="J23" s="1053" t="s">
        <v>2833</v>
      </c>
      <c r="K23" s="1054" t="s">
        <v>1202</v>
      </c>
      <c r="L23" s="1054" t="s">
        <v>2518</v>
      </c>
      <c r="M23" s="1053" t="s">
        <v>3074</v>
      </c>
    </row>
    <row r="24" spans="2:14" s="131" customFormat="1" hidden="1">
      <c r="C24" s="1059">
        <v>121</v>
      </c>
      <c r="D24" s="1053">
        <v>13</v>
      </c>
      <c r="E24" s="1053" t="s">
        <v>2474</v>
      </c>
      <c r="F24" s="1053" t="s">
        <v>2475</v>
      </c>
      <c r="G24" s="1053" t="s">
        <v>2830</v>
      </c>
      <c r="H24" s="1053" t="s">
        <v>2089</v>
      </c>
      <c r="I24" s="1053" t="s">
        <v>4775</v>
      </c>
      <c r="J24" s="1053" t="s">
        <v>2833</v>
      </c>
      <c r="K24" s="1054" t="s">
        <v>1202</v>
      </c>
      <c r="L24" s="1054" t="s">
        <v>2090</v>
      </c>
      <c r="M24" s="1053" t="s">
        <v>3074</v>
      </c>
    </row>
    <row r="25" spans="2:14" s="131" customFormat="1">
      <c r="C25" s="1059">
        <v>168</v>
      </c>
      <c r="D25" s="1053">
        <v>14</v>
      </c>
      <c r="E25" s="1053" t="s">
        <v>229</v>
      </c>
      <c r="F25" s="1053" t="s">
        <v>230</v>
      </c>
      <c r="G25" s="1053" t="s">
        <v>2830</v>
      </c>
      <c r="H25" s="1053" t="s">
        <v>4297</v>
      </c>
      <c r="I25" s="1053" t="s">
        <v>1474</v>
      </c>
      <c r="J25" s="1053" t="s">
        <v>2833</v>
      </c>
      <c r="K25" s="1054" t="s">
        <v>1202</v>
      </c>
      <c r="L25" s="1054" t="s">
        <v>1475</v>
      </c>
      <c r="M25" s="1053" t="s">
        <v>3074</v>
      </c>
    </row>
    <row r="26" spans="2:14" s="131" customFormat="1">
      <c r="C26" s="1066">
        <v>214</v>
      </c>
      <c r="D26" s="1062">
        <v>15</v>
      </c>
      <c r="E26" s="1062" t="s">
        <v>3703</v>
      </c>
      <c r="F26" s="1062" t="s">
        <v>3704</v>
      </c>
      <c r="G26" s="1062" t="s">
        <v>2830</v>
      </c>
      <c r="H26" s="1062" t="s">
        <v>826</v>
      </c>
      <c r="I26" s="1062" t="s">
        <v>621</v>
      </c>
      <c r="J26" s="1062" t="s">
        <v>667</v>
      </c>
      <c r="K26" s="1063" t="s">
        <v>1202</v>
      </c>
      <c r="L26" s="1063" t="s">
        <v>622</v>
      </c>
      <c r="M26" s="1053" t="s">
        <v>3074</v>
      </c>
    </row>
    <row r="27" spans="2:14" s="131" customFormat="1">
      <c r="C27" s="484">
        <v>502</v>
      </c>
      <c r="D27" s="1053" t="s">
        <v>994</v>
      </c>
      <c r="E27" s="1053" t="s">
        <v>4159</v>
      </c>
      <c r="F27" s="1053" t="s">
        <v>771</v>
      </c>
      <c r="G27" s="1053" t="s">
        <v>177</v>
      </c>
      <c r="H27" s="1053" t="s">
        <v>772</v>
      </c>
      <c r="I27" s="1053" t="s">
        <v>773</v>
      </c>
      <c r="J27" s="1053" t="s">
        <v>2094</v>
      </c>
      <c r="K27" s="1054" t="s">
        <v>774</v>
      </c>
      <c r="L27" s="1054" t="s">
        <v>1843</v>
      </c>
      <c r="M27" s="1053" t="s">
        <v>3074</v>
      </c>
      <c r="N27" s="1053" t="s">
        <v>3853</v>
      </c>
    </row>
    <row r="28" spans="2:14" s="131" customFormat="1">
      <c r="C28" s="1058">
        <v>471</v>
      </c>
      <c r="D28" s="1064" t="s">
        <v>3247</v>
      </c>
      <c r="E28" s="1064" t="s">
        <v>996</v>
      </c>
      <c r="F28" s="1064" t="s">
        <v>997</v>
      </c>
      <c r="G28" s="1064" t="s">
        <v>177</v>
      </c>
      <c r="H28" s="1064" t="s">
        <v>998</v>
      </c>
      <c r="I28" s="1064" t="s">
        <v>999</v>
      </c>
      <c r="J28" s="1064" t="s">
        <v>667</v>
      </c>
      <c r="K28" s="1065" t="s">
        <v>2355</v>
      </c>
      <c r="L28" s="1065" t="s">
        <v>3164</v>
      </c>
      <c r="M28" s="2141" t="s">
        <v>3074</v>
      </c>
      <c r="N28" s="1064" t="s">
        <v>3073</v>
      </c>
    </row>
    <row r="29" spans="2:14" s="131" customFormat="1">
      <c r="C29" s="1058">
        <v>334</v>
      </c>
      <c r="D29" s="1064" t="s">
        <v>2586</v>
      </c>
      <c r="E29" s="1064" t="s">
        <v>746</v>
      </c>
      <c r="F29" s="1064" t="s">
        <v>1021</v>
      </c>
      <c r="G29" s="1064" t="s">
        <v>177</v>
      </c>
      <c r="H29" s="1064" t="s">
        <v>1022</v>
      </c>
      <c r="I29" s="1064" t="s">
        <v>1023</v>
      </c>
      <c r="J29" s="1064" t="s">
        <v>667</v>
      </c>
      <c r="K29" s="1065" t="s">
        <v>1024</v>
      </c>
      <c r="L29" s="1065" t="s">
        <v>1025</v>
      </c>
      <c r="M29" s="2141" t="s">
        <v>3074</v>
      </c>
    </row>
    <row r="30" spans="2:14" s="131" customFormat="1">
      <c r="C30" s="1058">
        <v>335</v>
      </c>
      <c r="D30" s="1064" t="s">
        <v>2878</v>
      </c>
      <c r="E30" s="1064" t="s">
        <v>972</v>
      </c>
      <c r="F30" s="1064" t="s">
        <v>973</v>
      </c>
      <c r="G30" s="1064" t="s">
        <v>177</v>
      </c>
      <c r="H30" s="1064" t="s">
        <v>984</v>
      </c>
      <c r="I30" s="1064" t="s">
        <v>1023</v>
      </c>
      <c r="J30" s="1064" t="s">
        <v>667</v>
      </c>
      <c r="K30" s="1065" t="s">
        <v>1024</v>
      </c>
      <c r="L30" s="1065" t="s">
        <v>3828</v>
      </c>
      <c r="M30" s="2141" t="s">
        <v>3074</v>
      </c>
    </row>
    <row r="31" spans="2:14" s="131" customFormat="1" ht="12.95" customHeight="1">
      <c r="C31" s="1058">
        <v>199</v>
      </c>
      <c r="D31" s="1064" t="s">
        <v>4979</v>
      </c>
      <c r="E31" s="1064" t="s">
        <v>1995</v>
      </c>
      <c r="F31" s="1064" t="s">
        <v>937</v>
      </c>
      <c r="G31" s="1064" t="s">
        <v>177</v>
      </c>
      <c r="H31" s="1064" t="s">
        <v>4219</v>
      </c>
      <c r="I31" s="1064" t="s">
        <v>4220</v>
      </c>
      <c r="J31" s="1064" t="s">
        <v>2833</v>
      </c>
      <c r="K31" s="1065" t="s">
        <v>831</v>
      </c>
      <c r="L31" s="1065" t="s">
        <v>1448</v>
      </c>
      <c r="M31" s="2141" t="s">
        <v>3074</v>
      </c>
    </row>
    <row r="32" spans="2:14" s="131" customFormat="1" ht="12.95" customHeight="1">
      <c r="B32" s="2136">
        <v>1</v>
      </c>
      <c r="C32" s="2137">
        <v>205</v>
      </c>
      <c r="D32" s="2138">
        <v>21</v>
      </c>
      <c r="E32" s="2138" t="s">
        <v>3480</v>
      </c>
      <c r="F32" s="2138" t="s">
        <v>3481</v>
      </c>
      <c r="G32" s="2138" t="s">
        <v>177</v>
      </c>
      <c r="H32" s="2138" t="s">
        <v>678</v>
      </c>
      <c r="I32" s="2138" t="s">
        <v>755</v>
      </c>
      <c r="J32" s="2138" t="s">
        <v>2833</v>
      </c>
      <c r="K32" s="2139" t="s">
        <v>4864</v>
      </c>
      <c r="L32" s="2139" t="s">
        <v>1961</v>
      </c>
      <c r="M32" s="2138" t="s">
        <v>205</v>
      </c>
    </row>
    <row r="33" spans="2:14" s="131" customFormat="1" ht="12.95" customHeight="1">
      <c r="C33" s="1072">
        <v>213</v>
      </c>
      <c r="D33" s="1073" t="s">
        <v>1803</v>
      </c>
      <c r="E33" s="1073" t="s">
        <v>2792</v>
      </c>
      <c r="F33" s="1073" t="s">
        <v>2793</v>
      </c>
      <c r="G33" s="1073" t="s">
        <v>177</v>
      </c>
      <c r="H33" s="1073" t="s">
        <v>754</v>
      </c>
      <c r="I33" s="1073" t="s">
        <v>755</v>
      </c>
      <c r="J33" s="1073" t="s">
        <v>2833</v>
      </c>
      <c r="K33" s="1074" t="s">
        <v>4864</v>
      </c>
      <c r="L33" s="1074" t="s">
        <v>1961</v>
      </c>
      <c r="M33" s="2140" t="s">
        <v>3074</v>
      </c>
    </row>
    <row r="34" spans="2:14" s="131" customFormat="1">
      <c r="C34" s="1058">
        <v>238</v>
      </c>
      <c r="D34" s="1064" t="s">
        <v>4757</v>
      </c>
      <c r="E34" s="1064" t="s">
        <v>1963</v>
      </c>
      <c r="F34" s="1064" t="s">
        <v>4565</v>
      </c>
      <c r="G34" s="1064" t="s">
        <v>177</v>
      </c>
      <c r="H34" s="1064" t="s">
        <v>4566</v>
      </c>
      <c r="I34" s="1064" t="s">
        <v>4567</v>
      </c>
      <c r="J34" s="1064" t="s">
        <v>2833</v>
      </c>
      <c r="K34" s="1065" t="s">
        <v>4568</v>
      </c>
      <c r="L34" s="1065" t="s">
        <v>4569</v>
      </c>
      <c r="M34" s="2141" t="s">
        <v>3074</v>
      </c>
      <c r="N34" s="131" t="s">
        <v>501</v>
      </c>
    </row>
    <row r="35" spans="2:14" s="131" customFormat="1">
      <c r="B35" s="2136">
        <v>2</v>
      </c>
      <c r="C35" s="2137">
        <v>222</v>
      </c>
      <c r="D35" s="2138" t="s">
        <v>4761</v>
      </c>
      <c r="E35" s="2138" t="s">
        <v>270</v>
      </c>
      <c r="F35" s="2138" t="s">
        <v>4111</v>
      </c>
      <c r="G35" s="2138" t="s">
        <v>177</v>
      </c>
      <c r="H35" s="2138" t="s">
        <v>3094</v>
      </c>
      <c r="I35" s="2138" t="s">
        <v>3095</v>
      </c>
      <c r="J35" s="2138" t="s">
        <v>2833</v>
      </c>
      <c r="K35" s="2139" t="s">
        <v>3195</v>
      </c>
      <c r="L35" s="2139" t="s">
        <v>2074</v>
      </c>
      <c r="M35" s="2138" t="s">
        <v>205</v>
      </c>
      <c r="N35" s="131" t="s">
        <v>705</v>
      </c>
    </row>
    <row r="36" spans="2:14" s="131" customFormat="1">
      <c r="C36" s="1058">
        <v>236</v>
      </c>
      <c r="D36" s="1064" t="s">
        <v>216</v>
      </c>
      <c r="E36" s="1064" t="s">
        <v>4762</v>
      </c>
      <c r="F36" s="1064" t="s">
        <v>2747</v>
      </c>
      <c r="G36" s="1064" t="s">
        <v>177</v>
      </c>
      <c r="H36" s="1064" t="s">
        <v>2748</v>
      </c>
      <c r="I36" s="1064" t="s">
        <v>581</v>
      </c>
      <c r="J36" s="1064" t="s">
        <v>2833</v>
      </c>
      <c r="K36" s="1065" t="s">
        <v>3195</v>
      </c>
      <c r="L36" s="1065" t="s">
        <v>3246</v>
      </c>
      <c r="M36" s="1064" t="s">
        <v>3346</v>
      </c>
    </row>
    <row r="37" spans="2:14" s="131" customFormat="1">
      <c r="C37" s="1058">
        <v>237</v>
      </c>
      <c r="D37" s="1064" t="s">
        <v>4028</v>
      </c>
      <c r="E37" s="1064" t="s">
        <v>2327</v>
      </c>
      <c r="F37" s="1064" t="s">
        <v>2328</v>
      </c>
      <c r="G37" s="1064" t="s">
        <v>177</v>
      </c>
      <c r="H37" s="1064" t="s">
        <v>3968</v>
      </c>
      <c r="I37" s="1064" t="s">
        <v>581</v>
      </c>
      <c r="J37" s="1064" t="s">
        <v>2833</v>
      </c>
      <c r="K37" s="1065" t="s">
        <v>3195</v>
      </c>
      <c r="L37" s="1065" t="s">
        <v>3246</v>
      </c>
      <c r="M37" s="2141" t="s">
        <v>3074</v>
      </c>
      <c r="N37" s="131" t="s">
        <v>501</v>
      </c>
    </row>
    <row r="38" spans="2:14">
      <c r="G38" s="445"/>
      <c r="H38" s="445"/>
      <c r="I38" s="445"/>
      <c r="J38" s="445"/>
      <c r="K38" s="445"/>
      <c r="L38" s="445"/>
    </row>
    <row r="39" spans="2:14">
      <c r="D39" s="96"/>
      <c r="E39" s="96"/>
      <c r="F39" s="96"/>
      <c r="G39" s="96"/>
      <c r="H39" s="96"/>
      <c r="I39" s="96"/>
      <c r="J39" s="96"/>
      <c r="K39" s="96"/>
      <c r="L39" s="96"/>
    </row>
  </sheetData>
  <phoneticPr fontId="0" type="noConversion"/>
  <printOptions horizontalCentered="1"/>
  <pageMargins left="0.75" right="0.75" top="0.98425196850393704" bottom="0.98425196850393704" header="0" footer="0"/>
  <pageSetup scale="93" orientation="landscape" horizontalDpi="120" verticalDpi="144"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sheetPr codeName="Hoja12"/>
  <dimension ref="B1:W129"/>
  <sheetViews>
    <sheetView workbookViewId="0"/>
  </sheetViews>
  <sheetFormatPr baseColWidth="10" defaultRowHeight="12.75"/>
  <cols>
    <col min="1" max="1" width="1.7109375" customWidth="1"/>
    <col min="2" max="2" width="3.7109375" style="8" customWidth="1"/>
    <col min="3" max="3" width="7.42578125" style="1059" bestFit="1" customWidth="1"/>
    <col min="6" max="6" width="12.5703125" bestFit="1" customWidth="1"/>
    <col min="7" max="7" width="14.42578125" bestFit="1" customWidth="1"/>
    <col min="8" max="8" width="19" bestFit="1" customWidth="1"/>
    <col min="9" max="9" width="13.85546875" bestFit="1" customWidth="1"/>
    <col min="10" max="10" width="7" bestFit="1" customWidth="1"/>
    <col min="11" max="11" width="10.140625" bestFit="1" customWidth="1"/>
    <col min="12" max="12" width="10.42578125" bestFit="1" customWidth="1"/>
    <col min="15" max="15" width="35.85546875" bestFit="1" customWidth="1"/>
    <col min="18" max="18" width="7.7109375" style="8" customWidth="1"/>
    <col min="19" max="19" width="11.42578125" style="8"/>
    <col min="20" max="20" width="7.7109375" style="8" customWidth="1"/>
    <col min="21" max="21" width="11.42578125" style="8"/>
    <col min="22" max="22" width="7.7109375" style="8" customWidth="1"/>
    <col min="23" max="23" width="11.42578125" style="8"/>
  </cols>
  <sheetData>
    <row r="1" spans="2:23">
      <c r="G1" s="1067" t="s">
        <v>971</v>
      </c>
      <c r="H1" s="528"/>
    </row>
    <row r="3" spans="2:23" s="131" customFormat="1">
      <c r="B3" s="8"/>
      <c r="C3" s="1059"/>
      <c r="D3" s="1055" t="s">
        <v>4403</v>
      </c>
      <c r="F3" s="1052"/>
      <c r="R3" s="8"/>
      <c r="S3" s="8"/>
      <c r="T3" s="8"/>
      <c r="U3" s="8"/>
      <c r="V3" s="8"/>
      <c r="W3" s="8"/>
    </row>
    <row r="4" spans="2:23" s="131" customFormat="1">
      <c r="B4" s="8"/>
      <c r="C4" s="1059"/>
      <c r="D4" s="1050" t="s">
        <v>1108</v>
      </c>
      <c r="G4" s="1078" t="s">
        <v>1532</v>
      </c>
      <c r="H4" s="1079"/>
      <c r="I4" s="1079"/>
      <c r="J4" s="1079"/>
      <c r="K4" s="1079"/>
      <c r="R4" s="8"/>
      <c r="S4" s="8"/>
      <c r="T4" s="8"/>
      <c r="U4" s="8"/>
      <c r="V4" s="8"/>
      <c r="W4" s="8"/>
    </row>
    <row r="5" spans="2:23" s="131" customFormat="1">
      <c r="B5" s="8"/>
      <c r="C5" s="1059"/>
      <c r="D5" s="1050" t="s">
        <v>4493</v>
      </c>
      <c r="G5" s="1051" t="s">
        <v>4263</v>
      </c>
      <c r="R5" s="8"/>
      <c r="S5" s="8"/>
      <c r="T5" s="8"/>
      <c r="U5" s="8"/>
      <c r="V5" s="8"/>
      <c r="W5" s="8"/>
    </row>
    <row r="6" spans="2:23" s="131" customFormat="1" ht="15.95" customHeight="1">
      <c r="B6" s="8"/>
      <c r="C6" s="1059"/>
      <c r="D6" s="1050" t="s">
        <v>1677</v>
      </c>
      <c r="G6" s="1051" t="s">
        <v>4264</v>
      </c>
      <c r="R6" s="8"/>
      <c r="S6" s="3899" t="s">
        <v>1547</v>
      </c>
      <c r="T6" s="3899"/>
      <c r="U6" s="8"/>
      <c r="V6" s="8"/>
      <c r="W6" s="8"/>
    </row>
    <row r="7" spans="2:23" s="131" customFormat="1" ht="16.5" customHeight="1" thickBot="1">
      <c r="B7" s="8"/>
      <c r="C7" s="1059"/>
      <c r="D7" s="1050" t="s">
        <v>2262</v>
      </c>
      <c r="G7" s="1051"/>
      <c r="R7" s="8"/>
      <c r="S7" s="3900"/>
      <c r="T7" s="3900"/>
      <c r="U7" s="8"/>
      <c r="V7" s="8"/>
      <c r="W7" s="8"/>
    </row>
    <row r="8" spans="2:23" s="131" customFormat="1" ht="13.5" thickBot="1">
      <c r="B8" s="8"/>
      <c r="C8" s="1059"/>
      <c r="D8" s="1050" t="s">
        <v>2855</v>
      </c>
      <c r="G8" s="1051" t="s">
        <v>2856</v>
      </c>
      <c r="R8" s="1411" t="s">
        <v>1098</v>
      </c>
      <c r="S8" s="1412" t="s">
        <v>3591</v>
      </c>
      <c r="T8" s="1411" t="s">
        <v>1098</v>
      </c>
      <c r="U8" s="1412" t="s">
        <v>3591</v>
      </c>
      <c r="V8" s="1411" t="s">
        <v>1098</v>
      </c>
      <c r="W8" s="1412" t="s">
        <v>3591</v>
      </c>
    </row>
    <row r="9" spans="2:23" s="131" customFormat="1">
      <c r="B9" s="8"/>
      <c r="C9" s="1059"/>
      <c r="D9" s="1050" t="s">
        <v>2865</v>
      </c>
      <c r="G9" s="1051" t="s">
        <v>4805</v>
      </c>
      <c r="R9" s="1413">
        <v>1</v>
      </c>
      <c r="S9" s="1414" t="s">
        <v>4685</v>
      </c>
      <c r="T9" s="1413">
        <v>31</v>
      </c>
      <c r="U9" s="1414" t="s">
        <v>1065</v>
      </c>
      <c r="V9" s="1413">
        <v>61</v>
      </c>
      <c r="W9" s="1415" t="s">
        <v>4489</v>
      </c>
    </row>
    <row r="10" spans="2:23" s="131" customFormat="1">
      <c r="B10" s="8"/>
      <c r="C10" s="1059"/>
      <c r="D10" s="1050" t="s">
        <v>4806</v>
      </c>
      <c r="G10" s="1051" t="s">
        <v>4932</v>
      </c>
      <c r="R10" s="1416">
        <v>2</v>
      </c>
      <c r="S10" s="1417" t="s">
        <v>2520</v>
      </c>
      <c r="T10" s="1416">
        <v>32</v>
      </c>
      <c r="U10" s="1417" t="s">
        <v>471</v>
      </c>
      <c r="V10" s="1416">
        <v>62</v>
      </c>
      <c r="W10" s="1418" t="s">
        <v>3418</v>
      </c>
    </row>
    <row r="11" spans="2:23" s="131" customFormat="1">
      <c r="B11" s="8" t="s">
        <v>491</v>
      </c>
      <c r="C11" s="1060" t="s">
        <v>1835</v>
      </c>
      <c r="D11" s="1057" t="s">
        <v>1098</v>
      </c>
      <c r="E11" s="1057" t="s">
        <v>3591</v>
      </c>
      <c r="F11" s="1057" t="s">
        <v>2757</v>
      </c>
      <c r="G11" s="1057" t="s">
        <v>5004</v>
      </c>
      <c r="H11" s="1057" t="s">
        <v>4319</v>
      </c>
      <c r="I11" s="1057" t="s">
        <v>4320</v>
      </c>
      <c r="J11" s="1057" t="s">
        <v>4321</v>
      </c>
      <c r="K11" s="1056" t="s">
        <v>1520</v>
      </c>
      <c r="L11" s="1056" t="s">
        <v>4070</v>
      </c>
      <c r="R11" s="1416">
        <v>3</v>
      </c>
      <c r="S11" s="1417" t="s">
        <v>1943</v>
      </c>
      <c r="T11" s="1416">
        <v>33</v>
      </c>
      <c r="U11" s="1417" t="s">
        <v>1360</v>
      </c>
      <c r="V11" s="1416">
        <v>63</v>
      </c>
      <c r="W11" s="1418" t="s">
        <v>1818</v>
      </c>
    </row>
    <row r="12" spans="2:23" s="131" customFormat="1">
      <c r="B12" s="8">
        <v>1</v>
      </c>
      <c r="C12" s="1059">
        <v>101</v>
      </c>
      <c r="D12" s="1053">
        <v>1</v>
      </c>
      <c r="E12" s="1053" t="s">
        <v>4685</v>
      </c>
      <c r="F12" s="1053" t="s">
        <v>967</v>
      </c>
      <c r="G12" s="1053" t="s">
        <v>2830</v>
      </c>
      <c r="H12" s="1053" t="s">
        <v>1787</v>
      </c>
      <c r="I12" s="1053" t="s">
        <v>1788</v>
      </c>
      <c r="J12" s="1053" t="s">
        <v>2833</v>
      </c>
      <c r="K12" s="1054" t="s">
        <v>1202</v>
      </c>
      <c r="L12" s="1054" t="s">
        <v>4683</v>
      </c>
      <c r="O12" s="131" t="str">
        <f t="shared" ref="O12:O41" si="0">CONCATENATE("  ",E12,"  ",G12 )</f>
        <v xml:space="preserve">   YG1384   Remolcador</v>
      </c>
      <c r="P12" s="131" t="str">
        <f>+I12</f>
        <v> 1962</v>
      </c>
      <c r="R12" s="1416">
        <v>4</v>
      </c>
      <c r="S12" s="1417" t="s">
        <v>3630</v>
      </c>
      <c r="T12" s="1416">
        <v>34</v>
      </c>
      <c r="U12" s="1417" t="s">
        <v>1841</v>
      </c>
      <c r="V12" s="1416">
        <v>64</v>
      </c>
      <c r="W12" s="1418" t="s">
        <v>690</v>
      </c>
    </row>
    <row r="13" spans="2:23" s="131" customFormat="1">
      <c r="B13" s="8">
        <v>2</v>
      </c>
      <c r="C13" s="1059">
        <v>105</v>
      </c>
      <c r="D13" s="1053">
        <v>2</v>
      </c>
      <c r="E13" s="1053" t="s">
        <v>2520</v>
      </c>
      <c r="F13" s="1053" t="s">
        <v>565</v>
      </c>
      <c r="G13" s="1053" t="s">
        <v>2830</v>
      </c>
      <c r="H13" s="1053" t="s">
        <v>2522</v>
      </c>
      <c r="I13" s="1053" t="s">
        <v>2832</v>
      </c>
      <c r="J13" s="1053" t="s">
        <v>2833</v>
      </c>
      <c r="K13" s="1054" t="s">
        <v>1202</v>
      </c>
      <c r="L13" s="1054" t="s">
        <v>1016</v>
      </c>
      <c r="O13" s="131" t="str">
        <f t="shared" si="0"/>
        <v xml:space="preserve">   YG1335   Remolcador</v>
      </c>
      <c r="P13" s="131" t="str">
        <f t="shared" ref="P13:P76" si="1">+I13</f>
        <v> 1963</v>
      </c>
      <c r="R13" s="1416">
        <v>5</v>
      </c>
      <c r="S13" s="1417" t="s">
        <v>820</v>
      </c>
      <c r="T13" s="1416">
        <v>35</v>
      </c>
      <c r="U13" s="1417" t="s">
        <v>1090</v>
      </c>
      <c r="V13" s="1416">
        <v>65</v>
      </c>
      <c r="W13" s="1418" t="s">
        <v>1654</v>
      </c>
    </row>
    <row r="14" spans="2:23" s="131" customFormat="1">
      <c r="B14" s="8">
        <v>3</v>
      </c>
      <c r="C14" s="1059">
        <v>106</v>
      </c>
      <c r="D14" s="1053">
        <v>3</v>
      </c>
      <c r="E14" s="1053" t="s">
        <v>1943</v>
      </c>
      <c r="F14" s="1053" t="s">
        <v>567</v>
      </c>
      <c r="G14" s="1053" t="s">
        <v>2830</v>
      </c>
      <c r="H14" s="1053" t="s">
        <v>3628</v>
      </c>
      <c r="I14" s="1053" t="s">
        <v>2832</v>
      </c>
      <c r="J14" s="1053" t="s">
        <v>2833</v>
      </c>
      <c r="K14" s="1054" t="s">
        <v>1202</v>
      </c>
      <c r="L14" s="1054" t="s">
        <v>1016</v>
      </c>
      <c r="O14" s="131" t="str">
        <f t="shared" si="0"/>
        <v xml:space="preserve">   YG1364   Remolcador</v>
      </c>
      <c r="P14" s="131" t="str">
        <f t="shared" si="1"/>
        <v> 1963</v>
      </c>
      <c r="R14" s="1416">
        <v>6</v>
      </c>
      <c r="S14" s="1417" t="s">
        <v>2280</v>
      </c>
      <c r="T14" s="1416">
        <v>36</v>
      </c>
      <c r="U14" s="1417" t="s">
        <v>3027</v>
      </c>
      <c r="V14" s="1416">
        <v>66</v>
      </c>
      <c r="W14" s="1418" t="s">
        <v>2124</v>
      </c>
    </row>
    <row r="15" spans="2:23" s="131" customFormat="1">
      <c r="B15" s="8">
        <v>4</v>
      </c>
      <c r="C15" s="1071">
        <v>108</v>
      </c>
      <c r="D15" s="1068">
        <v>4</v>
      </c>
      <c r="E15" s="1068" t="s">
        <v>3630</v>
      </c>
      <c r="F15" s="1068" t="s">
        <v>568</v>
      </c>
      <c r="G15" s="1068" t="s">
        <v>2830</v>
      </c>
      <c r="H15" s="1068" t="s">
        <v>4555</v>
      </c>
      <c r="I15" s="1068" t="s">
        <v>2832</v>
      </c>
      <c r="J15" s="1068" t="s">
        <v>2833</v>
      </c>
      <c r="K15" s="1069" t="s">
        <v>1202</v>
      </c>
      <c r="L15" s="1070" t="s">
        <v>1016</v>
      </c>
      <c r="M15" s="3901">
        <v>109</v>
      </c>
      <c r="N15" s="3909" t="s">
        <v>4372</v>
      </c>
      <c r="O15" s="131" t="str">
        <f t="shared" si="0"/>
        <v xml:space="preserve">   YG1367   Remolcador</v>
      </c>
      <c r="P15" s="131" t="str">
        <f t="shared" si="1"/>
        <v> 1963</v>
      </c>
      <c r="R15" s="1416">
        <v>7</v>
      </c>
      <c r="S15" s="1417" t="s">
        <v>3965</v>
      </c>
      <c r="T15" s="1416">
        <v>37</v>
      </c>
      <c r="U15" s="1417" t="s">
        <v>211</v>
      </c>
      <c r="V15" s="1416">
        <v>67</v>
      </c>
      <c r="W15" s="1418" t="s">
        <v>4342</v>
      </c>
    </row>
    <row r="16" spans="2:23" s="131" customFormat="1">
      <c r="B16" s="8">
        <v>5</v>
      </c>
      <c r="C16" s="1059">
        <v>111</v>
      </c>
      <c r="D16" s="1053">
        <v>5</v>
      </c>
      <c r="E16" s="1053" t="s">
        <v>820</v>
      </c>
      <c r="F16" s="1053" t="s">
        <v>3600</v>
      </c>
      <c r="G16" s="1053" t="s">
        <v>2830</v>
      </c>
      <c r="H16" s="1053" t="s">
        <v>2471</v>
      </c>
      <c r="I16" s="1053" t="s">
        <v>1201</v>
      </c>
      <c r="J16" s="1053" t="s">
        <v>2833</v>
      </c>
      <c r="K16" s="1054" t="s">
        <v>1202</v>
      </c>
      <c r="L16" s="1054" t="s">
        <v>2472</v>
      </c>
      <c r="M16" s="3902"/>
      <c r="N16" s="3910"/>
      <c r="O16" s="131" t="str">
        <f t="shared" si="0"/>
        <v xml:space="preserve">   YG1440   Remolcador</v>
      </c>
      <c r="P16" s="131" t="str">
        <f t="shared" si="1"/>
        <v> 1965</v>
      </c>
      <c r="R16" s="1416">
        <v>8</v>
      </c>
      <c r="S16" s="1417" t="s">
        <v>4384</v>
      </c>
      <c r="T16" s="1416">
        <v>38</v>
      </c>
      <c r="U16" s="1417" t="s">
        <v>3221</v>
      </c>
      <c r="V16" s="1416">
        <v>68</v>
      </c>
      <c r="W16" s="1418" t="s">
        <v>990</v>
      </c>
    </row>
    <row r="17" spans="2:23" s="131" customFormat="1">
      <c r="B17" s="8">
        <v>6</v>
      </c>
      <c r="C17" s="1059">
        <v>114</v>
      </c>
      <c r="D17" s="1053">
        <v>6</v>
      </c>
      <c r="E17" s="1053" t="s">
        <v>2280</v>
      </c>
      <c r="F17" s="1053" t="s">
        <v>3599</v>
      </c>
      <c r="G17" s="1053" t="s">
        <v>2830</v>
      </c>
      <c r="H17" s="1053" t="s">
        <v>826</v>
      </c>
      <c r="I17" s="1053" t="s">
        <v>1201</v>
      </c>
      <c r="J17" s="1053" t="s">
        <v>2833</v>
      </c>
      <c r="K17" s="1054" t="s">
        <v>1202</v>
      </c>
      <c r="L17" s="1054" t="s">
        <v>2518</v>
      </c>
      <c r="M17" s="3903" t="s">
        <v>1538</v>
      </c>
      <c r="N17" s="3904"/>
      <c r="O17" s="131" t="str">
        <f t="shared" si="0"/>
        <v xml:space="preserve">   YG1396   Remolcador</v>
      </c>
      <c r="P17" s="131" t="str">
        <f t="shared" si="1"/>
        <v> 1965</v>
      </c>
      <c r="R17" s="1416">
        <v>9</v>
      </c>
      <c r="S17" s="1417" t="s">
        <v>2092</v>
      </c>
      <c r="T17" s="1416">
        <v>39</v>
      </c>
      <c r="U17" s="1417" t="s">
        <v>2875</v>
      </c>
      <c r="V17" s="1416">
        <v>69</v>
      </c>
      <c r="W17" s="1418" t="s">
        <v>4858</v>
      </c>
    </row>
    <row r="18" spans="2:23" s="131" customFormat="1">
      <c r="B18" s="8">
        <v>7</v>
      </c>
      <c r="C18" s="1059">
        <v>116</v>
      </c>
      <c r="D18" s="1053">
        <v>7</v>
      </c>
      <c r="E18" s="1053" t="s">
        <v>3965</v>
      </c>
      <c r="F18" s="1053" t="s">
        <v>566</v>
      </c>
      <c r="G18" s="1053" t="s">
        <v>2830</v>
      </c>
      <c r="H18" s="1053" t="s">
        <v>3967</v>
      </c>
      <c r="I18" s="1053" t="s">
        <v>1201</v>
      </c>
      <c r="J18" s="1053" t="s">
        <v>2833</v>
      </c>
      <c r="K18" s="1054" t="s">
        <v>1202</v>
      </c>
      <c r="L18" s="1054" t="s">
        <v>2518</v>
      </c>
      <c r="M18" s="3903"/>
      <c r="N18" s="3904"/>
      <c r="O18" s="131" t="str">
        <f t="shared" si="0"/>
        <v xml:space="preserve">   YG1345   Remolcador</v>
      </c>
      <c r="P18" s="131" t="str">
        <f t="shared" si="1"/>
        <v> 1965</v>
      </c>
      <c r="R18" s="1416">
        <v>10</v>
      </c>
      <c r="S18" s="1417" t="s">
        <v>4882</v>
      </c>
      <c r="T18" s="1416">
        <v>40</v>
      </c>
      <c r="U18" s="1417" t="s">
        <v>4571</v>
      </c>
      <c r="V18" s="1419"/>
      <c r="W18" s="1420"/>
    </row>
    <row r="19" spans="2:23" s="131" customFormat="1">
      <c r="B19" s="8">
        <v>8</v>
      </c>
      <c r="C19" s="1059">
        <v>119</v>
      </c>
      <c r="D19" s="1053">
        <v>8</v>
      </c>
      <c r="E19" s="1053" t="s">
        <v>4384</v>
      </c>
      <c r="F19" s="1053" t="s">
        <v>4423</v>
      </c>
      <c r="G19" s="1053" t="s">
        <v>2830</v>
      </c>
      <c r="H19" s="1053" t="s">
        <v>4386</v>
      </c>
      <c r="I19" s="1053" t="s">
        <v>1201</v>
      </c>
      <c r="J19" s="1053" t="s">
        <v>2833</v>
      </c>
      <c r="K19" s="1054" t="s">
        <v>1202</v>
      </c>
      <c r="L19" s="1054" t="s">
        <v>2518</v>
      </c>
      <c r="M19" s="3905" t="s">
        <v>3345</v>
      </c>
      <c r="N19" s="3906"/>
      <c r="O19" s="131" t="str">
        <f t="shared" si="0"/>
        <v xml:space="preserve">   YG1395   Remolcador</v>
      </c>
      <c r="P19" s="131" t="str">
        <f t="shared" si="1"/>
        <v> 1965</v>
      </c>
      <c r="R19" s="1416">
        <v>11</v>
      </c>
      <c r="S19" s="1417" t="s">
        <v>1130</v>
      </c>
      <c r="T19" s="1416">
        <v>41</v>
      </c>
      <c r="U19" s="1417" t="s">
        <v>3837</v>
      </c>
      <c r="V19" s="1419"/>
      <c r="W19" s="1420"/>
    </row>
    <row r="20" spans="2:23" s="131" customFormat="1">
      <c r="B20" s="8">
        <v>9</v>
      </c>
      <c r="C20" s="1059">
        <v>122</v>
      </c>
      <c r="D20" s="1053">
        <v>9</v>
      </c>
      <c r="E20" s="1053" t="s">
        <v>2092</v>
      </c>
      <c r="F20" s="1053" t="s">
        <v>3601</v>
      </c>
      <c r="G20" s="1053" t="s">
        <v>2830</v>
      </c>
      <c r="H20" s="1053" t="s">
        <v>2889</v>
      </c>
      <c r="I20" s="1053" t="s">
        <v>4775</v>
      </c>
      <c r="J20" s="1053" t="s">
        <v>2833</v>
      </c>
      <c r="K20" s="1054" t="s">
        <v>3195</v>
      </c>
      <c r="L20" s="1054" t="s">
        <v>2090</v>
      </c>
      <c r="M20" s="3907"/>
      <c r="N20" s="3908"/>
      <c r="O20" s="131" t="str">
        <f t="shared" si="0"/>
        <v xml:space="preserve">   YG1461   Remolcador</v>
      </c>
      <c r="P20" s="131" t="str">
        <f t="shared" si="1"/>
        <v> 1966</v>
      </c>
      <c r="R20" s="1416">
        <v>12</v>
      </c>
      <c r="S20" s="1417" t="s">
        <v>300</v>
      </c>
      <c r="T20" s="1416">
        <v>42</v>
      </c>
      <c r="U20" s="1417" t="s">
        <v>4961</v>
      </c>
      <c r="V20" s="1419"/>
      <c r="W20" s="1420"/>
    </row>
    <row r="21" spans="2:23" s="131" customFormat="1">
      <c r="B21" s="8">
        <v>10</v>
      </c>
      <c r="C21" s="1059">
        <v>123</v>
      </c>
      <c r="D21" s="1053">
        <v>10</v>
      </c>
      <c r="E21" s="1053" t="s">
        <v>4882</v>
      </c>
      <c r="F21" s="1053" t="s">
        <v>3602</v>
      </c>
      <c r="G21" s="1053" t="s">
        <v>2830</v>
      </c>
      <c r="H21" s="1053" t="s">
        <v>745</v>
      </c>
      <c r="I21" s="1053" t="s">
        <v>621</v>
      </c>
      <c r="J21" s="1053" t="s">
        <v>2833</v>
      </c>
      <c r="K21" s="1054" t="s">
        <v>1202</v>
      </c>
      <c r="L21" s="1054" t="s">
        <v>1469</v>
      </c>
      <c r="O21" s="131" t="str">
        <f t="shared" si="0"/>
        <v xml:space="preserve">   YG1705   Remolcador</v>
      </c>
      <c r="P21" s="131" t="str">
        <f t="shared" si="1"/>
        <v> 1960</v>
      </c>
      <c r="R21" s="1416">
        <v>13</v>
      </c>
      <c r="S21" s="1417" t="s">
        <v>3128</v>
      </c>
      <c r="T21" s="1416">
        <v>43</v>
      </c>
      <c r="U21" s="1417" t="s">
        <v>3907</v>
      </c>
      <c r="V21" s="1419"/>
      <c r="W21" s="1420"/>
    </row>
    <row r="22" spans="2:23" s="131" customFormat="1">
      <c r="B22" s="8">
        <v>11</v>
      </c>
      <c r="C22" s="1059">
        <v>124</v>
      </c>
      <c r="D22" s="1053">
        <v>11</v>
      </c>
      <c r="E22" s="1053" t="s">
        <v>1130</v>
      </c>
      <c r="F22" s="1053" t="s">
        <v>3786</v>
      </c>
      <c r="G22" s="1053" t="s">
        <v>2830</v>
      </c>
      <c r="H22" s="1053" t="s">
        <v>444</v>
      </c>
      <c r="I22" s="1053" t="s">
        <v>1138</v>
      </c>
      <c r="J22" s="1053" t="s">
        <v>2833</v>
      </c>
      <c r="K22" s="1054" t="s">
        <v>1202</v>
      </c>
      <c r="L22" s="1054" t="s">
        <v>1139</v>
      </c>
      <c r="O22" s="131" t="str">
        <f t="shared" si="0"/>
        <v xml:space="preserve">   YG6385   Remolcador</v>
      </c>
      <c r="P22" s="131" t="str">
        <f t="shared" si="1"/>
        <v> 1985</v>
      </c>
      <c r="R22" s="1416">
        <v>14</v>
      </c>
      <c r="S22" s="1417" t="s">
        <v>1365</v>
      </c>
      <c r="T22" s="1416">
        <v>44</v>
      </c>
      <c r="U22" s="1417" t="s">
        <v>3192</v>
      </c>
      <c r="V22" s="1419"/>
      <c r="W22" s="1420"/>
    </row>
    <row r="23" spans="2:23" s="131" customFormat="1">
      <c r="B23" s="8">
        <v>12</v>
      </c>
      <c r="C23" s="1059">
        <v>151</v>
      </c>
      <c r="D23" s="1053">
        <v>12</v>
      </c>
      <c r="E23" s="1053" t="s">
        <v>300</v>
      </c>
      <c r="F23" s="1053" t="s">
        <v>4005</v>
      </c>
      <c r="G23" s="1053" t="s">
        <v>2830</v>
      </c>
      <c r="H23" s="1053" t="s">
        <v>302</v>
      </c>
      <c r="I23" s="1053" t="s">
        <v>3268</v>
      </c>
      <c r="J23" s="1053" t="s">
        <v>2833</v>
      </c>
      <c r="K23" s="1054" t="s">
        <v>1202</v>
      </c>
      <c r="L23" s="1054" t="s">
        <v>4810</v>
      </c>
      <c r="O23" s="131" t="str">
        <f t="shared" si="0"/>
        <v xml:space="preserve">   YG6128   Remolcador</v>
      </c>
      <c r="P23" s="131" t="str">
        <f t="shared" si="1"/>
        <v> 1969</v>
      </c>
      <c r="R23" s="1416">
        <v>15</v>
      </c>
      <c r="S23" s="1417" t="s">
        <v>2380</v>
      </c>
      <c r="T23" s="1416">
        <v>45</v>
      </c>
      <c r="U23" s="1417" t="s">
        <v>1450</v>
      </c>
      <c r="V23" s="1419"/>
      <c r="W23" s="1420"/>
    </row>
    <row r="24" spans="2:23" s="131" customFormat="1">
      <c r="B24" s="8">
        <v>13</v>
      </c>
      <c r="C24" s="1059">
        <v>152</v>
      </c>
      <c r="D24" s="1053">
        <v>13</v>
      </c>
      <c r="E24" s="1053" t="s">
        <v>3128</v>
      </c>
      <c r="F24" s="1053" t="s">
        <v>1432</v>
      </c>
      <c r="G24" s="1053" t="s">
        <v>2830</v>
      </c>
      <c r="H24" s="1053" t="s">
        <v>3121</v>
      </c>
      <c r="I24" s="1053" t="s">
        <v>3268</v>
      </c>
      <c r="J24" s="1053" t="s">
        <v>2833</v>
      </c>
      <c r="K24" s="1054" t="s">
        <v>1202</v>
      </c>
      <c r="L24" s="1054" t="s">
        <v>1433</v>
      </c>
      <c r="O24" s="131" t="str">
        <f t="shared" si="0"/>
        <v xml:space="preserve">   YG6125   Remolcador</v>
      </c>
      <c r="P24" s="131" t="str">
        <f t="shared" si="1"/>
        <v> 1969</v>
      </c>
      <c r="R24" s="1416">
        <v>16</v>
      </c>
      <c r="S24" s="1417" t="s">
        <v>1141</v>
      </c>
      <c r="T24" s="1416">
        <v>46</v>
      </c>
      <c r="U24" s="1417" t="s">
        <v>966</v>
      </c>
      <c r="V24" s="1419"/>
      <c r="W24" s="1420"/>
    </row>
    <row r="25" spans="2:23" s="131" customFormat="1">
      <c r="B25" s="8">
        <v>14</v>
      </c>
      <c r="C25" s="1059">
        <v>153</v>
      </c>
      <c r="D25" s="1053">
        <v>14</v>
      </c>
      <c r="E25" s="1053" t="s">
        <v>1365</v>
      </c>
      <c r="F25" s="1053" t="s">
        <v>3567</v>
      </c>
      <c r="G25" s="1053" t="s">
        <v>2830</v>
      </c>
      <c r="H25" s="1053" t="s">
        <v>2583</v>
      </c>
      <c r="I25" s="1053" t="s">
        <v>3268</v>
      </c>
      <c r="J25" s="1053" t="s">
        <v>2833</v>
      </c>
      <c r="K25" s="1054" t="s">
        <v>1202</v>
      </c>
      <c r="L25" s="1054" t="s">
        <v>1219</v>
      </c>
      <c r="O25" s="131" t="str">
        <f t="shared" si="0"/>
        <v xml:space="preserve">   YG6162   Remolcador</v>
      </c>
      <c r="P25" s="131" t="str">
        <f t="shared" si="1"/>
        <v> 1969</v>
      </c>
      <c r="R25" s="1416">
        <v>17</v>
      </c>
      <c r="S25" s="1417" t="s">
        <v>2851</v>
      </c>
      <c r="T25" s="1416">
        <v>47</v>
      </c>
      <c r="U25" s="1417" t="s">
        <v>499</v>
      </c>
      <c r="V25" s="1419"/>
      <c r="W25" s="1420"/>
    </row>
    <row r="26" spans="2:23" s="131" customFormat="1">
      <c r="B26" s="8">
        <v>15</v>
      </c>
      <c r="C26" s="1058">
        <v>154</v>
      </c>
      <c r="D26" s="1053">
        <v>15</v>
      </c>
      <c r="E26" s="1064" t="s">
        <v>2380</v>
      </c>
      <c r="F26" s="1053" t="s">
        <v>1996</v>
      </c>
      <c r="G26" s="1053" t="s">
        <v>2830</v>
      </c>
      <c r="H26" s="1053" t="s">
        <v>4904</v>
      </c>
      <c r="I26" s="1053" t="s">
        <v>3268</v>
      </c>
      <c r="J26" s="1053" t="s">
        <v>2833</v>
      </c>
      <c r="K26" s="1054" t="s">
        <v>1202</v>
      </c>
      <c r="L26" s="1054" t="s">
        <v>1997</v>
      </c>
      <c r="O26" s="131" t="str">
        <f t="shared" si="0"/>
        <v xml:space="preserve">   YG6127   Remolcador</v>
      </c>
      <c r="P26" s="131" t="str">
        <f t="shared" si="1"/>
        <v> 1969</v>
      </c>
      <c r="R26" s="1416">
        <v>18</v>
      </c>
      <c r="S26" s="1417" t="s">
        <v>3607</v>
      </c>
      <c r="T26" s="1416">
        <v>48</v>
      </c>
      <c r="U26" s="1417" t="s">
        <v>2796</v>
      </c>
      <c r="V26" s="1419"/>
      <c r="W26" s="1420"/>
    </row>
    <row r="27" spans="2:23" s="131" customFormat="1">
      <c r="B27" s="8">
        <v>16</v>
      </c>
      <c r="C27" s="1059">
        <v>155</v>
      </c>
      <c r="D27" s="1053">
        <v>16</v>
      </c>
      <c r="E27" s="1053" t="s">
        <v>1141</v>
      </c>
      <c r="F27" s="1053" t="s">
        <v>3787</v>
      </c>
      <c r="G27" s="1053" t="s">
        <v>2830</v>
      </c>
      <c r="H27" s="1053" t="s">
        <v>4157</v>
      </c>
      <c r="I27" s="1053" t="s">
        <v>3268</v>
      </c>
      <c r="J27" s="1053" t="s">
        <v>2833</v>
      </c>
      <c r="K27" s="1054" t="s">
        <v>1202</v>
      </c>
      <c r="L27" s="1054" t="s">
        <v>1997</v>
      </c>
      <c r="O27" s="131" t="str">
        <f t="shared" si="0"/>
        <v xml:space="preserve">   YG6407   Remolcador</v>
      </c>
      <c r="P27" s="131" t="str">
        <f t="shared" si="1"/>
        <v> 1969</v>
      </c>
      <c r="R27" s="1416">
        <v>19</v>
      </c>
      <c r="S27" s="1417" t="s">
        <v>3002</v>
      </c>
      <c r="T27" s="1416">
        <v>49</v>
      </c>
      <c r="U27" s="1417" t="s">
        <v>3248</v>
      </c>
      <c r="V27" s="1419"/>
      <c r="W27" s="1420"/>
    </row>
    <row r="28" spans="2:23" s="131" customFormat="1">
      <c r="B28" s="8">
        <v>17</v>
      </c>
      <c r="C28" s="1059">
        <v>156</v>
      </c>
      <c r="D28" s="1053">
        <v>17</v>
      </c>
      <c r="E28" s="1053" t="s">
        <v>2851</v>
      </c>
      <c r="F28" s="1053" t="s">
        <v>731</v>
      </c>
      <c r="G28" s="1053" t="s">
        <v>2830</v>
      </c>
      <c r="H28" s="1053" t="s">
        <v>2378</v>
      </c>
      <c r="I28" s="1053" t="s">
        <v>3268</v>
      </c>
      <c r="J28" s="1053" t="s">
        <v>2833</v>
      </c>
      <c r="K28" s="1054" t="s">
        <v>1202</v>
      </c>
      <c r="L28" s="1054" t="s">
        <v>732</v>
      </c>
      <c r="O28" s="131" t="str">
        <f t="shared" si="0"/>
        <v xml:space="preserve">   YG6126   Remolcador</v>
      </c>
      <c r="P28" s="131" t="str">
        <f t="shared" si="1"/>
        <v> 1969</v>
      </c>
      <c r="R28" s="1416">
        <v>20</v>
      </c>
      <c r="S28" s="1417" t="s">
        <v>2994</v>
      </c>
      <c r="T28" s="1416">
        <v>50</v>
      </c>
      <c r="U28" s="1417" t="s">
        <v>1685</v>
      </c>
      <c r="V28" s="1419"/>
      <c r="W28" s="1420"/>
    </row>
    <row r="29" spans="2:23" s="131" customFormat="1">
      <c r="B29" s="8">
        <v>18</v>
      </c>
      <c r="C29" s="1059">
        <v>157</v>
      </c>
      <c r="D29" s="1053">
        <v>18</v>
      </c>
      <c r="E29" s="1053" t="s">
        <v>3607</v>
      </c>
      <c r="F29" s="1053" t="s">
        <v>3266</v>
      </c>
      <c r="G29" s="1053" t="s">
        <v>2830</v>
      </c>
      <c r="H29" s="1053" t="s">
        <v>1895</v>
      </c>
      <c r="I29" s="1053" t="s">
        <v>3268</v>
      </c>
      <c r="J29" s="1053" t="s">
        <v>2833</v>
      </c>
      <c r="K29" s="1054" t="s">
        <v>1202</v>
      </c>
      <c r="L29" s="1054" t="s">
        <v>3267</v>
      </c>
      <c r="O29" s="131" t="str">
        <f t="shared" si="0"/>
        <v xml:space="preserve">   YG6133   Remolcador</v>
      </c>
      <c r="P29" s="131" t="str">
        <f t="shared" si="1"/>
        <v> 1969</v>
      </c>
      <c r="R29" s="1416">
        <v>21</v>
      </c>
      <c r="S29" s="1417" t="s">
        <v>1991</v>
      </c>
      <c r="T29" s="1416">
        <v>51</v>
      </c>
      <c r="U29" s="1417" t="s">
        <v>2879</v>
      </c>
      <c r="V29" s="1419"/>
      <c r="W29" s="1420"/>
    </row>
    <row r="30" spans="2:23" s="131" customFormat="1">
      <c r="B30" s="8">
        <v>19</v>
      </c>
      <c r="C30" s="1059">
        <v>158</v>
      </c>
      <c r="D30" s="1053">
        <v>19</v>
      </c>
      <c r="E30" s="1053" t="s">
        <v>3002</v>
      </c>
      <c r="F30" s="1053" t="s">
        <v>1603</v>
      </c>
      <c r="G30" s="1053" t="s">
        <v>2830</v>
      </c>
      <c r="H30" s="1053" t="s">
        <v>4153</v>
      </c>
      <c r="I30" s="1053" t="s">
        <v>3268</v>
      </c>
      <c r="J30" s="1053" t="s">
        <v>2833</v>
      </c>
      <c r="K30" s="1054" t="s">
        <v>1202</v>
      </c>
      <c r="L30" s="1054" t="s">
        <v>1431</v>
      </c>
      <c r="O30" s="131" t="str">
        <f t="shared" si="0"/>
        <v xml:space="preserve">   YG6124   Remolcador</v>
      </c>
      <c r="P30" s="131" t="str">
        <f t="shared" si="1"/>
        <v> 1969</v>
      </c>
      <c r="R30" s="1416">
        <v>22</v>
      </c>
      <c r="S30" s="1417" t="s">
        <v>360</v>
      </c>
      <c r="T30" s="1416">
        <v>52</v>
      </c>
      <c r="U30" s="1417" t="s">
        <v>2290</v>
      </c>
      <c r="V30" s="1419"/>
      <c r="W30" s="1420"/>
    </row>
    <row r="31" spans="2:23" s="131" customFormat="1">
      <c r="B31" s="8">
        <v>20</v>
      </c>
      <c r="C31" s="1059">
        <v>159</v>
      </c>
      <c r="D31" s="1053">
        <v>20</v>
      </c>
      <c r="E31" s="1053" t="s">
        <v>2994</v>
      </c>
      <c r="F31" s="1053" t="s">
        <v>4257</v>
      </c>
      <c r="G31" s="1053" t="s">
        <v>2830</v>
      </c>
      <c r="H31" s="1053" t="s">
        <v>1307</v>
      </c>
      <c r="I31" s="1053" t="s">
        <v>3268</v>
      </c>
      <c r="J31" s="1053" t="s">
        <v>2833</v>
      </c>
      <c r="K31" s="1054" t="s">
        <v>1202</v>
      </c>
      <c r="L31" s="1054" t="s">
        <v>4258</v>
      </c>
      <c r="O31" s="131" t="str">
        <f t="shared" si="0"/>
        <v xml:space="preserve">   YG6123   Remolcador</v>
      </c>
      <c r="P31" s="131" t="str">
        <f t="shared" si="1"/>
        <v> 1969</v>
      </c>
      <c r="R31" s="1416">
        <v>23</v>
      </c>
      <c r="S31" s="1417" t="s">
        <v>1591</v>
      </c>
      <c r="T31" s="1416">
        <v>53</v>
      </c>
      <c r="U31" s="1417" t="s">
        <v>4758</v>
      </c>
      <c r="V31" s="1419"/>
      <c r="W31" s="1420"/>
    </row>
    <row r="32" spans="2:23" s="131" customFormat="1">
      <c r="B32" s="8">
        <v>21</v>
      </c>
      <c r="C32" s="1059">
        <v>160</v>
      </c>
      <c r="D32" s="1053">
        <v>21</v>
      </c>
      <c r="E32" s="1053" t="s">
        <v>1991</v>
      </c>
      <c r="F32" s="1053" t="s">
        <v>2758</v>
      </c>
      <c r="G32" s="1053" t="s">
        <v>2830</v>
      </c>
      <c r="H32" s="1053" t="s">
        <v>1993</v>
      </c>
      <c r="I32" s="1053" t="s">
        <v>3268</v>
      </c>
      <c r="J32" s="1053" t="s">
        <v>2833</v>
      </c>
      <c r="K32" s="1054" t="s">
        <v>1202</v>
      </c>
      <c r="L32" s="1054" t="s">
        <v>4256</v>
      </c>
      <c r="O32" s="131" t="str">
        <f t="shared" si="0"/>
        <v xml:space="preserve">   YG6134   Remolcador</v>
      </c>
      <c r="P32" s="131" t="str">
        <f t="shared" si="1"/>
        <v> 1969</v>
      </c>
      <c r="R32" s="1416">
        <v>24</v>
      </c>
      <c r="S32" s="1417" t="s">
        <v>391</v>
      </c>
      <c r="T32" s="1416">
        <v>54</v>
      </c>
      <c r="U32" s="1417" t="s">
        <v>3093</v>
      </c>
      <c r="V32" s="1419"/>
      <c r="W32" s="1420"/>
    </row>
    <row r="33" spans="2:23" s="131" customFormat="1">
      <c r="B33" s="8">
        <v>22</v>
      </c>
      <c r="C33" s="1059">
        <v>161</v>
      </c>
      <c r="D33" s="1053">
        <v>22</v>
      </c>
      <c r="E33" s="1053" t="s">
        <v>360</v>
      </c>
      <c r="F33" s="1053" t="s">
        <v>3934</v>
      </c>
      <c r="G33" s="1053" t="s">
        <v>2830</v>
      </c>
      <c r="H33" s="1053" t="s">
        <v>3203</v>
      </c>
      <c r="I33" s="1053" t="s">
        <v>1474</v>
      </c>
      <c r="J33" s="1053" t="s">
        <v>2833</v>
      </c>
      <c r="K33" s="1054" t="s">
        <v>1202</v>
      </c>
      <c r="L33" s="1054" t="s">
        <v>3084</v>
      </c>
      <c r="O33" s="131" t="str">
        <f t="shared" si="0"/>
        <v xml:space="preserve">   YG6035   Remolcador</v>
      </c>
      <c r="P33" s="131" t="str">
        <f t="shared" si="1"/>
        <v> 1972</v>
      </c>
      <c r="R33" s="1416">
        <v>25</v>
      </c>
      <c r="S33" s="1417" t="s">
        <v>4299</v>
      </c>
      <c r="T33" s="1416">
        <v>55</v>
      </c>
      <c r="U33" s="1417" t="s">
        <v>1804</v>
      </c>
      <c r="V33" s="1419"/>
      <c r="W33" s="1420"/>
    </row>
    <row r="34" spans="2:23" s="131" customFormat="1">
      <c r="B34" s="8">
        <v>23</v>
      </c>
      <c r="C34" s="1059">
        <v>162</v>
      </c>
      <c r="D34" s="1053">
        <v>23</v>
      </c>
      <c r="E34" s="1053" t="s">
        <v>1591</v>
      </c>
      <c r="F34" s="1053" t="s">
        <v>3466</v>
      </c>
      <c r="G34" s="1053" t="s">
        <v>2830</v>
      </c>
      <c r="H34" s="1053" t="s">
        <v>2496</v>
      </c>
      <c r="I34" s="1053" t="s">
        <v>1474</v>
      </c>
      <c r="J34" s="1053" t="s">
        <v>2833</v>
      </c>
      <c r="K34" s="1054" t="s">
        <v>1202</v>
      </c>
      <c r="L34" s="1054" t="s">
        <v>1431</v>
      </c>
      <c r="O34" s="131" t="str">
        <f t="shared" si="0"/>
        <v xml:space="preserve">   YG6129   Remolcador</v>
      </c>
      <c r="P34" s="131" t="str">
        <f t="shared" si="1"/>
        <v> 1972</v>
      </c>
      <c r="R34" s="1416">
        <v>26</v>
      </c>
      <c r="S34" s="1417" t="s">
        <v>45</v>
      </c>
      <c r="T34" s="1416">
        <v>56</v>
      </c>
      <c r="U34" s="1417" t="s">
        <v>4029</v>
      </c>
      <c r="V34" s="1419"/>
      <c r="W34" s="1420"/>
    </row>
    <row r="35" spans="2:23" s="131" customFormat="1">
      <c r="B35" s="8">
        <v>24</v>
      </c>
      <c r="C35" s="1059">
        <v>163</v>
      </c>
      <c r="D35" s="1053">
        <v>24</v>
      </c>
      <c r="E35" s="1053" t="s">
        <v>391</v>
      </c>
      <c r="F35" s="1053" t="s">
        <v>3085</v>
      </c>
      <c r="G35" s="1053" t="s">
        <v>2830</v>
      </c>
      <c r="H35" s="1053" t="s">
        <v>2992</v>
      </c>
      <c r="I35" s="1053" t="s">
        <v>1474</v>
      </c>
      <c r="J35" s="1053" t="s">
        <v>2833</v>
      </c>
      <c r="K35" s="1054" t="s">
        <v>1202</v>
      </c>
      <c r="L35" s="1054" t="s">
        <v>4256</v>
      </c>
      <c r="O35" s="131" t="str">
        <f t="shared" si="0"/>
        <v xml:space="preserve">   YG6036   Remolcador</v>
      </c>
      <c r="P35" s="131" t="str">
        <f t="shared" si="1"/>
        <v> 1972</v>
      </c>
      <c r="R35" s="1416">
        <v>27</v>
      </c>
      <c r="S35" s="1417" t="s">
        <v>518</v>
      </c>
      <c r="T35" s="1416">
        <v>57</v>
      </c>
      <c r="U35" s="1417" t="s">
        <v>4021</v>
      </c>
      <c r="V35" s="1419"/>
      <c r="W35" s="1420"/>
    </row>
    <row r="36" spans="2:23" s="131" customFormat="1">
      <c r="B36" s="8">
        <v>25</v>
      </c>
      <c r="C36" s="1059">
        <v>164</v>
      </c>
      <c r="D36" s="1053">
        <v>25</v>
      </c>
      <c r="E36" s="1053" t="s">
        <v>4299</v>
      </c>
      <c r="F36" s="1053" t="s">
        <v>2368</v>
      </c>
      <c r="G36" s="1053" t="s">
        <v>2830</v>
      </c>
      <c r="H36" s="1053" t="s">
        <v>284</v>
      </c>
      <c r="I36" s="1053" t="s">
        <v>1474</v>
      </c>
      <c r="J36" s="1053" t="s">
        <v>2833</v>
      </c>
      <c r="K36" s="1054" t="s">
        <v>1202</v>
      </c>
      <c r="L36" s="1054" t="s">
        <v>2369</v>
      </c>
      <c r="O36" s="131" t="str">
        <f t="shared" si="0"/>
        <v xml:space="preserve">   YG6161   Remolcador</v>
      </c>
      <c r="P36" s="131" t="str">
        <f t="shared" si="1"/>
        <v> 1972</v>
      </c>
      <c r="R36" s="1416">
        <v>28</v>
      </c>
      <c r="S36" s="1417" t="s">
        <v>2283</v>
      </c>
      <c r="T36" s="1416">
        <v>58</v>
      </c>
      <c r="U36" s="1417" t="s">
        <v>4507</v>
      </c>
      <c r="V36" s="1419"/>
      <c r="W36" s="1420"/>
    </row>
    <row r="37" spans="2:23" s="131" customFormat="1">
      <c r="B37" s="8">
        <v>26</v>
      </c>
      <c r="C37" s="1059">
        <v>165</v>
      </c>
      <c r="D37" s="1053">
        <v>26</v>
      </c>
      <c r="E37" s="1053" t="s">
        <v>45</v>
      </c>
      <c r="F37" s="1053" t="s">
        <v>3933</v>
      </c>
      <c r="G37" s="1053" t="s">
        <v>2830</v>
      </c>
      <c r="H37" s="1053" t="s">
        <v>516</v>
      </c>
      <c r="I37" s="1053" t="s">
        <v>1474</v>
      </c>
      <c r="J37" s="1053" t="s">
        <v>2833</v>
      </c>
      <c r="K37" s="1054" t="s">
        <v>1202</v>
      </c>
      <c r="L37" s="1054" t="s">
        <v>3371</v>
      </c>
      <c r="O37" s="131" t="str">
        <f t="shared" si="0"/>
        <v xml:space="preserve">   YG6130   Remolcador</v>
      </c>
      <c r="P37" s="131" t="str">
        <f t="shared" si="1"/>
        <v> 1972</v>
      </c>
      <c r="R37" s="1416">
        <v>29</v>
      </c>
      <c r="S37" s="1417" t="s">
        <v>1471</v>
      </c>
      <c r="T37" s="1416">
        <v>59</v>
      </c>
      <c r="U37" s="1417" t="s">
        <v>1845</v>
      </c>
      <c r="V37" s="1419"/>
      <c r="W37" s="1420"/>
    </row>
    <row r="38" spans="2:23" s="131" customFormat="1" ht="13.5" thickBot="1">
      <c r="B38" s="8">
        <v>27</v>
      </c>
      <c r="C38" s="1059">
        <v>166</v>
      </c>
      <c r="D38" s="1053">
        <v>27</v>
      </c>
      <c r="E38" s="1053" t="s">
        <v>518</v>
      </c>
      <c r="F38" s="1053" t="s">
        <v>3264</v>
      </c>
      <c r="G38" s="1053" t="s">
        <v>2830</v>
      </c>
      <c r="H38" s="1053" t="s">
        <v>2281</v>
      </c>
      <c r="I38" s="1053" t="s">
        <v>1474</v>
      </c>
      <c r="J38" s="1053" t="s">
        <v>2833</v>
      </c>
      <c r="K38" s="1054" t="s">
        <v>1202</v>
      </c>
      <c r="L38" s="1054" t="s">
        <v>4256</v>
      </c>
      <c r="O38" s="131" t="str">
        <f t="shared" si="0"/>
        <v xml:space="preserve">   YG6131   Remolcador</v>
      </c>
      <c r="P38" s="131" t="str">
        <f t="shared" si="1"/>
        <v> 1972</v>
      </c>
      <c r="R38" s="1421">
        <v>30</v>
      </c>
      <c r="S38" s="1422" t="s">
        <v>487</v>
      </c>
      <c r="T38" s="1421">
        <v>60</v>
      </c>
      <c r="U38" s="1422" t="s">
        <v>3385</v>
      </c>
      <c r="V38" s="1423"/>
      <c r="W38" s="416"/>
    </row>
    <row r="39" spans="2:23" s="131" customFormat="1">
      <c r="B39" s="8">
        <v>28</v>
      </c>
      <c r="C39" s="1059">
        <v>167</v>
      </c>
      <c r="D39" s="1053">
        <v>28</v>
      </c>
      <c r="E39" s="1053" t="s">
        <v>2283</v>
      </c>
      <c r="F39" s="1053" t="s">
        <v>3265</v>
      </c>
      <c r="G39" s="1053" t="s">
        <v>2830</v>
      </c>
      <c r="H39" s="1053" t="s">
        <v>3605</v>
      </c>
      <c r="I39" s="1053" t="s">
        <v>1474</v>
      </c>
      <c r="J39" s="1053" t="s">
        <v>2833</v>
      </c>
      <c r="K39" s="1054" t="s">
        <v>1202</v>
      </c>
      <c r="L39" s="1054" t="s">
        <v>4256</v>
      </c>
      <c r="O39" s="131" t="str">
        <f t="shared" si="0"/>
        <v xml:space="preserve">   YG6132   Remolcador</v>
      </c>
      <c r="P39" s="131" t="str">
        <f t="shared" si="1"/>
        <v> 1972</v>
      </c>
      <c r="R39" s="8"/>
      <c r="S39" s="8"/>
      <c r="T39" s="8"/>
      <c r="U39" s="8"/>
      <c r="V39" s="8"/>
      <c r="W39" s="8"/>
    </row>
    <row r="40" spans="2:23" s="131" customFormat="1">
      <c r="B40" s="8">
        <v>29</v>
      </c>
      <c r="C40" s="1059">
        <v>169</v>
      </c>
      <c r="D40" s="1053">
        <v>29</v>
      </c>
      <c r="E40" s="1053" t="s">
        <v>1471</v>
      </c>
      <c r="F40" s="1053" t="s">
        <v>3062</v>
      </c>
      <c r="G40" s="1053" t="s">
        <v>2830</v>
      </c>
      <c r="H40" s="1053" t="s">
        <v>1473</v>
      </c>
      <c r="I40" s="1053" t="s">
        <v>1474</v>
      </c>
      <c r="J40" s="1053" t="s">
        <v>2833</v>
      </c>
      <c r="K40" s="1054" t="s">
        <v>1202</v>
      </c>
      <c r="L40" s="1054" t="s">
        <v>3063</v>
      </c>
      <c r="O40" s="131" t="str">
        <f t="shared" si="0"/>
        <v xml:space="preserve">   YG6033   Remolcador</v>
      </c>
      <c r="P40" s="131" t="str">
        <f t="shared" si="1"/>
        <v> 1972</v>
      </c>
      <c r="R40" s="8"/>
      <c r="S40" s="8"/>
      <c r="T40" s="8"/>
      <c r="U40" s="8"/>
      <c r="V40" s="8"/>
      <c r="W40" s="8"/>
    </row>
    <row r="41" spans="2:23" s="131" customFormat="1">
      <c r="B41" s="8">
        <v>30</v>
      </c>
      <c r="C41" s="1061">
        <v>170</v>
      </c>
      <c r="D41" s="1062">
        <v>30</v>
      </c>
      <c r="E41" s="1062" t="s">
        <v>487</v>
      </c>
      <c r="F41" s="1062" t="s">
        <v>749</v>
      </c>
      <c r="G41" s="1062" t="s">
        <v>2830</v>
      </c>
      <c r="H41" s="1062" t="s">
        <v>3526</v>
      </c>
      <c r="I41" s="1062" t="s">
        <v>1474</v>
      </c>
      <c r="J41" s="1062" t="s">
        <v>2833</v>
      </c>
      <c r="K41" s="1063" t="s">
        <v>1202</v>
      </c>
      <c r="L41" s="1063" t="s">
        <v>750</v>
      </c>
      <c r="O41" s="131" t="str">
        <f t="shared" si="0"/>
        <v xml:space="preserve">   YG6034   Remolcador</v>
      </c>
      <c r="P41" s="131" t="str">
        <f t="shared" si="1"/>
        <v> 1972</v>
      </c>
      <c r="R41" s="8"/>
      <c r="S41" s="8"/>
      <c r="T41" s="8"/>
      <c r="U41" s="8"/>
      <c r="V41" s="8"/>
      <c r="W41" s="8"/>
    </row>
    <row r="42" spans="2:23" s="131" customFormat="1">
      <c r="B42" s="8">
        <v>1</v>
      </c>
      <c r="C42" s="8">
        <v>200</v>
      </c>
      <c r="D42" s="1053">
        <v>31</v>
      </c>
      <c r="E42" s="1053" t="s">
        <v>1065</v>
      </c>
      <c r="F42" s="1053" t="s">
        <v>3392</v>
      </c>
      <c r="G42" s="1053" t="s">
        <v>177</v>
      </c>
      <c r="H42" s="1053" t="s">
        <v>3463</v>
      </c>
      <c r="I42" s="1053" t="s">
        <v>755</v>
      </c>
      <c r="J42" s="1053" t="s">
        <v>2833</v>
      </c>
      <c r="K42" s="1054" t="s">
        <v>4864</v>
      </c>
      <c r="L42" s="1054" t="s">
        <v>1961</v>
      </c>
      <c r="O42" s="131" t="str">
        <f>CONCATENATE("  ",E42,"  ",G42," Tolva" )</f>
        <v xml:space="preserve">   ZG6706   Semi Remolque Tolva</v>
      </c>
      <c r="P42" s="131" t="str">
        <f t="shared" si="1"/>
        <v> 1993</v>
      </c>
      <c r="R42" s="8"/>
      <c r="S42" s="8"/>
      <c r="T42" s="8"/>
      <c r="U42" s="8"/>
      <c r="V42" s="8"/>
      <c r="W42" s="8"/>
    </row>
    <row r="43" spans="2:23" s="131" customFormat="1">
      <c r="B43" s="8">
        <v>2</v>
      </c>
      <c r="C43" s="8">
        <v>201</v>
      </c>
      <c r="D43" s="1053">
        <v>32</v>
      </c>
      <c r="E43" s="1053" t="s">
        <v>471</v>
      </c>
      <c r="F43" s="1053" t="s">
        <v>3393</v>
      </c>
      <c r="G43" s="1053" t="s">
        <v>177</v>
      </c>
      <c r="H43" s="1053" t="s">
        <v>661</v>
      </c>
      <c r="I43" s="1053" t="s">
        <v>755</v>
      </c>
      <c r="J43" s="1053" t="s">
        <v>2833</v>
      </c>
      <c r="K43" s="1054" t="s">
        <v>271</v>
      </c>
      <c r="L43" s="1054" t="s">
        <v>2371</v>
      </c>
      <c r="O43" s="131" t="str">
        <f t="shared" ref="O43:O68" si="2">CONCATENATE("  ",E43,"  ",G43," Tolva" )</f>
        <v xml:space="preserve">   ZG6709   Semi Remolque Tolva</v>
      </c>
      <c r="P43" s="131" t="str">
        <f t="shared" si="1"/>
        <v> 1993</v>
      </c>
      <c r="R43" s="8"/>
      <c r="S43" s="8"/>
      <c r="T43" s="8"/>
      <c r="U43" s="8"/>
      <c r="V43" s="8"/>
      <c r="W43" s="8"/>
    </row>
    <row r="44" spans="2:23" s="131" customFormat="1">
      <c r="B44" s="8">
        <v>3</v>
      </c>
      <c r="C44" s="8">
        <v>202</v>
      </c>
      <c r="D44" s="1053">
        <v>33</v>
      </c>
      <c r="E44" s="1053" t="s">
        <v>1360</v>
      </c>
      <c r="F44" s="1053" t="s">
        <v>3296</v>
      </c>
      <c r="G44" s="1053" t="s">
        <v>177</v>
      </c>
      <c r="H44" s="1053" t="s">
        <v>1361</v>
      </c>
      <c r="I44" s="1053" t="s">
        <v>755</v>
      </c>
      <c r="J44" s="1053" t="s">
        <v>2833</v>
      </c>
      <c r="K44" s="1054" t="s">
        <v>4864</v>
      </c>
      <c r="L44" s="1054" t="s">
        <v>1961</v>
      </c>
      <c r="O44" s="131" t="str">
        <f t="shared" si="2"/>
        <v xml:space="preserve">   ZG6710   Semi Remolque Tolva</v>
      </c>
      <c r="P44" s="131" t="str">
        <f t="shared" si="1"/>
        <v> 1993</v>
      </c>
      <c r="R44" s="8"/>
      <c r="S44" s="8"/>
      <c r="T44" s="8"/>
      <c r="U44" s="8"/>
      <c r="V44" s="8"/>
      <c r="W44" s="8"/>
    </row>
    <row r="45" spans="2:23" s="131" customFormat="1">
      <c r="B45" s="8">
        <v>4</v>
      </c>
      <c r="C45" s="8">
        <v>204</v>
      </c>
      <c r="D45" s="1053">
        <v>34</v>
      </c>
      <c r="E45" s="1053" t="s">
        <v>1841</v>
      </c>
      <c r="F45" s="1053" t="s">
        <v>2244</v>
      </c>
      <c r="G45" s="1053" t="s">
        <v>177</v>
      </c>
      <c r="H45" s="1053" t="s">
        <v>2972</v>
      </c>
      <c r="I45" s="1053" t="s">
        <v>755</v>
      </c>
      <c r="J45" s="1053" t="s">
        <v>2833</v>
      </c>
      <c r="K45" s="1054" t="s">
        <v>4864</v>
      </c>
      <c r="L45" s="1054" t="s">
        <v>1961</v>
      </c>
      <c r="O45" s="131" t="str">
        <f t="shared" si="2"/>
        <v xml:space="preserve">   ZG6712   Semi Remolque Tolva</v>
      </c>
      <c r="P45" s="131" t="str">
        <f t="shared" si="1"/>
        <v> 1993</v>
      </c>
      <c r="R45" s="8"/>
      <c r="S45" s="8"/>
      <c r="T45" s="8"/>
      <c r="U45" s="8"/>
      <c r="V45" s="8"/>
      <c r="W45" s="8"/>
    </row>
    <row r="46" spans="2:23" s="131" customFormat="1">
      <c r="B46" s="8">
        <v>5</v>
      </c>
      <c r="C46" s="8">
        <v>207</v>
      </c>
      <c r="D46" s="1053">
        <v>35</v>
      </c>
      <c r="E46" s="1053" t="s">
        <v>1090</v>
      </c>
      <c r="F46" s="1053" t="s">
        <v>4648</v>
      </c>
      <c r="G46" s="1053" t="s">
        <v>177</v>
      </c>
      <c r="H46" s="1053" t="s">
        <v>2352</v>
      </c>
      <c r="I46" s="1053" t="s">
        <v>755</v>
      </c>
      <c r="J46" s="1053" t="s">
        <v>2833</v>
      </c>
      <c r="K46" s="1054" t="s">
        <v>4864</v>
      </c>
      <c r="L46" s="1054" t="s">
        <v>1961</v>
      </c>
      <c r="O46" s="131" t="str">
        <f t="shared" si="2"/>
        <v xml:space="preserve">   ZG6763   Semi Remolque Tolva</v>
      </c>
      <c r="P46" s="131" t="str">
        <f t="shared" si="1"/>
        <v> 1993</v>
      </c>
      <c r="R46" s="8"/>
      <c r="S46" s="8"/>
      <c r="T46" s="8"/>
      <c r="U46" s="8"/>
      <c r="V46" s="8"/>
      <c r="W46" s="8"/>
    </row>
    <row r="47" spans="2:23" s="131" customFormat="1">
      <c r="B47" s="8">
        <v>6</v>
      </c>
      <c r="C47" s="8">
        <v>209</v>
      </c>
      <c r="D47" s="1053">
        <v>36</v>
      </c>
      <c r="E47" s="1053" t="s">
        <v>3027</v>
      </c>
      <c r="F47" s="1053" t="s">
        <v>514</v>
      </c>
      <c r="G47" s="1053" t="s">
        <v>177</v>
      </c>
      <c r="H47" s="1053" t="s">
        <v>3561</v>
      </c>
      <c r="I47" s="1053" t="s">
        <v>755</v>
      </c>
      <c r="J47" s="1053" t="s">
        <v>2833</v>
      </c>
      <c r="K47" s="1054" t="s">
        <v>4864</v>
      </c>
      <c r="L47" s="1054" t="s">
        <v>1961</v>
      </c>
      <c r="O47" s="131" t="str">
        <f t="shared" si="2"/>
        <v xml:space="preserve">   ZG6765   Semi Remolque Tolva</v>
      </c>
      <c r="P47" s="131" t="str">
        <f t="shared" si="1"/>
        <v> 1993</v>
      </c>
      <c r="R47" s="8"/>
      <c r="S47" s="8"/>
      <c r="T47" s="8"/>
      <c r="U47" s="8"/>
      <c r="V47" s="8"/>
      <c r="W47" s="8"/>
    </row>
    <row r="48" spans="2:23" s="131" customFormat="1">
      <c r="B48" s="8">
        <v>7</v>
      </c>
      <c r="C48" s="1111">
        <v>210</v>
      </c>
      <c r="D48" s="1112">
        <v>37</v>
      </c>
      <c r="E48" s="1112" t="s">
        <v>211</v>
      </c>
      <c r="F48" s="1112" t="s">
        <v>515</v>
      </c>
      <c r="G48" s="1112" t="s">
        <v>177</v>
      </c>
      <c r="H48" s="1112" t="s">
        <v>3219</v>
      </c>
      <c r="I48" s="1112" t="s">
        <v>755</v>
      </c>
      <c r="J48" s="1112" t="s">
        <v>2833</v>
      </c>
      <c r="K48" s="1113" t="s">
        <v>4864</v>
      </c>
      <c r="L48" s="1113" t="s">
        <v>1961</v>
      </c>
      <c r="M48" s="3901">
        <v>213</v>
      </c>
      <c r="N48" s="3909" t="s">
        <v>4361</v>
      </c>
      <c r="O48" s="131" t="str">
        <f t="shared" si="2"/>
        <v xml:space="preserve">   ZG6829   Semi Remolque Tolva</v>
      </c>
      <c r="P48" s="131" t="str">
        <f t="shared" si="1"/>
        <v> 1993</v>
      </c>
      <c r="R48" s="8"/>
      <c r="S48" s="8"/>
      <c r="T48" s="8"/>
      <c r="U48" s="8"/>
      <c r="V48" s="8"/>
      <c r="W48" s="8"/>
    </row>
    <row r="49" spans="2:23" s="131" customFormat="1">
      <c r="B49" s="8">
        <v>8</v>
      </c>
      <c r="C49" s="8">
        <v>214</v>
      </c>
      <c r="D49" s="1053">
        <v>38</v>
      </c>
      <c r="E49" s="1053" t="s">
        <v>3221</v>
      </c>
      <c r="F49" s="1053" t="s">
        <v>3690</v>
      </c>
      <c r="G49" s="1053" t="s">
        <v>177</v>
      </c>
      <c r="H49" s="1053" t="s">
        <v>2585</v>
      </c>
      <c r="I49" s="1053" t="s">
        <v>755</v>
      </c>
      <c r="J49" s="1053" t="s">
        <v>667</v>
      </c>
      <c r="K49" s="1054" t="s">
        <v>4864</v>
      </c>
      <c r="L49" s="1054" t="s">
        <v>1242</v>
      </c>
      <c r="M49" s="3902"/>
      <c r="N49" s="3910"/>
      <c r="O49" s="131" t="str">
        <f t="shared" si="2"/>
        <v xml:space="preserve">   ZG6830   Semi Remolque Tolva</v>
      </c>
      <c r="P49" s="131" t="str">
        <f t="shared" si="1"/>
        <v> 1993</v>
      </c>
      <c r="R49" s="8"/>
      <c r="S49" s="8"/>
      <c r="T49" s="8"/>
      <c r="U49" s="8"/>
      <c r="V49" s="8"/>
      <c r="W49" s="8"/>
    </row>
    <row r="50" spans="2:23" s="131" customFormat="1">
      <c r="B50" s="8">
        <v>9</v>
      </c>
      <c r="C50" s="1058">
        <v>215</v>
      </c>
      <c r="D50" s="1053">
        <v>39</v>
      </c>
      <c r="E50" s="1064" t="s">
        <v>2875</v>
      </c>
      <c r="F50" s="1053" t="s">
        <v>1244</v>
      </c>
      <c r="G50" s="1053" t="s">
        <v>177</v>
      </c>
      <c r="H50" s="1053" t="s">
        <v>3835</v>
      </c>
      <c r="I50" s="1053" t="s">
        <v>4567</v>
      </c>
      <c r="J50" s="1053" t="s">
        <v>667</v>
      </c>
      <c r="K50" s="1054" t="s">
        <v>4864</v>
      </c>
      <c r="L50" s="1054" t="s">
        <v>1245</v>
      </c>
      <c r="M50" s="3903" t="s">
        <v>1538</v>
      </c>
      <c r="N50" s="3904"/>
      <c r="O50" s="131" t="str">
        <f t="shared" si="2"/>
        <v xml:space="preserve">   ZG6936   Semi Remolque Tolva</v>
      </c>
      <c r="P50" s="131" t="str">
        <f t="shared" si="1"/>
        <v> 1994</v>
      </c>
      <c r="R50" s="8"/>
      <c r="S50" s="8"/>
      <c r="T50" s="8"/>
      <c r="U50" s="8"/>
      <c r="V50" s="8"/>
      <c r="W50" s="8"/>
    </row>
    <row r="51" spans="2:23" s="131" customFormat="1">
      <c r="B51" s="8">
        <v>10</v>
      </c>
      <c r="C51" s="8">
        <v>216</v>
      </c>
      <c r="D51" s="1053">
        <v>40</v>
      </c>
      <c r="E51" s="1053" t="s">
        <v>4571</v>
      </c>
      <c r="F51" s="1053" t="s">
        <v>1243</v>
      </c>
      <c r="G51" s="1053" t="s">
        <v>177</v>
      </c>
      <c r="H51" s="1053" t="s">
        <v>2873</v>
      </c>
      <c r="I51" s="1053" t="s">
        <v>4567</v>
      </c>
      <c r="J51" s="1053" t="s">
        <v>2833</v>
      </c>
      <c r="K51" s="1054" t="s">
        <v>4864</v>
      </c>
      <c r="L51" s="1054" t="s">
        <v>1961</v>
      </c>
      <c r="M51" s="3903"/>
      <c r="N51" s="3904"/>
      <c r="O51" s="131" t="str">
        <f t="shared" si="2"/>
        <v xml:space="preserve">   ZG6935   Semi Remolque Tolva</v>
      </c>
      <c r="P51" s="131" t="str">
        <f t="shared" si="1"/>
        <v> 1994</v>
      </c>
      <c r="R51" s="8"/>
      <c r="S51" s="8"/>
      <c r="T51" s="8"/>
      <c r="U51" s="8"/>
      <c r="V51" s="8"/>
      <c r="W51" s="8"/>
    </row>
    <row r="52" spans="2:23" s="131" customFormat="1">
      <c r="B52" s="8">
        <v>11</v>
      </c>
      <c r="C52" s="8">
        <v>217</v>
      </c>
      <c r="D52" s="1053">
        <v>41</v>
      </c>
      <c r="E52" s="1053" t="s">
        <v>3837</v>
      </c>
      <c r="F52" s="1053" t="s">
        <v>4917</v>
      </c>
      <c r="G52" s="1053" t="s">
        <v>177</v>
      </c>
      <c r="H52" s="1053" t="s">
        <v>2699</v>
      </c>
      <c r="I52" s="1053" t="s">
        <v>4567</v>
      </c>
      <c r="J52" s="1053" t="s">
        <v>667</v>
      </c>
      <c r="K52" s="1054" t="s">
        <v>4918</v>
      </c>
      <c r="L52" s="1054" t="s">
        <v>4919</v>
      </c>
      <c r="M52" s="3905" t="s">
        <v>1658</v>
      </c>
      <c r="N52" s="3906"/>
      <c r="O52" s="131" t="str">
        <f t="shared" si="2"/>
        <v xml:space="preserve">   ZG6937   Semi Remolque Tolva</v>
      </c>
      <c r="P52" s="131" t="str">
        <f t="shared" si="1"/>
        <v> 1994</v>
      </c>
      <c r="R52" s="8"/>
      <c r="S52" s="8"/>
      <c r="T52" s="8"/>
      <c r="U52" s="8"/>
      <c r="V52" s="8"/>
      <c r="W52" s="8"/>
    </row>
    <row r="53" spans="2:23" s="131" customFormat="1">
      <c r="B53" s="8">
        <v>12</v>
      </c>
      <c r="C53" s="2127">
        <v>218</v>
      </c>
      <c r="D53" s="2128">
        <v>42</v>
      </c>
      <c r="E53" s="2128" t="s">
        <v>4961</v>
      </c>
      <c r="F53" s="2128" t="s">
        <v>3506</v>
      </c>
      <c r="G53" s="2128" t="s">
        <v>177</v>
      </c>
      <c r="H53" s="2128" t="s">
        <v>4604</v>
      </c>
      <c r="I53" s="2128" t="s">
        <v>4567</v>
      </c>
      <c r="J53" s="2128" t="s">
        <v>2833</v>
      </c>
      <c r="K53" s="2129" t="s">
        <v>4568</v>
      </c>
      <c r="L53" s="2129" t="s">
        <v>4569</v>
      </c>
      <c r="M53" s="3907"/>
      <c r="N53" s="3908"/>
      <c r="O53" s="131" t="str">
        <f t="shared" si="2"/>
        <v xml:space="preserve">   ZG7093   Semi Remolque Tolva</v>
      </c>
      <c r="P53" s="131" t="str">
        <f t="shared" si="1"/>
        <v> 1994</v>
      </c>
      <c r="R53" s="8"/>
      <c r="S53" s="8"/>
      <c r="T53" s="8"/>
      <c r="U53" s="8"/>
      <c r="V53" s="8"/>
      <c r="W53" s="8"/>
    </row>
    <row r="54" spans="2:23" s="131" customFormat="1">
      <c r="B54" s="8">
        <v>13</v>
      </c>
      <c r="C54" s="8">
        <v>219</v>
      </c>
      <c r="D54" s="1053">
        <v>43</v>
      </c>
      <c r="E54" s="1053" t="s">
        <v>3907</v>
      </c>
      <c r="F54" s="1053" t="s">
        <v>4920</v>
      </c>
      <c r="G54" s="1053" t="s">
        <v>177</v>
      </c>
      <c r="H54" s="1053" t="s">
        <v>433</v>
      </c>
      <c r="I54" s="1053" t="s">
        <v>4567</v>
      </c>
      <c r="J54" s="1053" t="s">
        <v>2833</v>
      </c>
      <c r="K54" s="1054" t="s">
        <v>4568</v>
      </c>
      <c r="L54" s="1054" t="s">
        <v>4569</v>
      </c>
      <c r="O54" s="131" t="str">
        <f t="shared" si="2"/>
        <v xml:space="preserve">   ZG7092   Semi Remolque Tolva</v>
      </c>
      <c r="P54" s="131" t="str">
        <f t="shared" si="1"/>
        <v> 1994</v>
      </c>
      <c r="R54" s="8"/>
      <c r="S54" s="8"/>
      <c r="T54" s="8"/>
      <c r="U54" s="8"/>
      <c r="V54" s="8"/>
      <c r="W54" s="8"/>
    </row>
    <row r="55" spans="2:23" s="131" customFormat="1">
      <c r="B55" s="8">
        <v>14</v>
      </c>
      <c r="C55" s="8">
        <v>220</v>
      </c>
      <c r="D55" s="1053">
        <v>44</v>
      </c>
      <c r="E55" s="1053" t="s">
        <v>3192</v>
      </c>
      <c r="F55" s="1053" t="s">
        <v>1083</v>
      </c>
      <c r="G55" s="1053" t="s">
        <v>177</v>
      </c>
      <c r="H55" s="1053" t="s">
        <v>3194</v>
      </c>
      <c r="I55" s="1053" t="s">
        <v>4567</v>
      </c>
      <c r="J55" s="1053" t="s">
        <v>667</v>
      </c>
      <c r="K55" s="1054" t="s">
        <v>3195</v>
      </c>
      <c r="L55" s="1054" t="s">
        <v>1084</v>
      </c>
      <c r="O55" s="131" t="str">
        <f t="shared" si="2"/>
        <v xml:space="preserve">   ZG7609   Semi Remolque Tolva</v>
      </c>
      <c r="P55" s="131" t="str">
        <f t="shared" si="1"/>
        <v> 1994</v>
      </c>
      <c r="R55" s="8"/>
      <c r="S55" s="8"/>
      <c r="T55" s="8"/>
      <c r="U55" s="8"/>
      <c r="V55" s="8"/>
      <c r="W55" s="8"/>
    </row>
    <row r="56" spans="2:23" s="131" customFormat="1">
      <c r="B56" s="8">
        <v>15</v>
      </c>
      <c r="C56" s="8">
        <v>221</v>
      </c>
      <c r="D56" s="1053">
        <v>45</v>
      </c>
      <c r="E56" s="1053" t="s">
        <v>1450</v>
      </c>
      <c r="F56" s="1053" t="s">
        <v>94</v>
      </c>
      <c r="G56" s="1053" t="s">
        <v>177</v>
      </c>
      <c r="H56" s="1053" t="s">
        <v>2190</v>
      </c>
      <c r="I56" s="1053" t="s">
        <v>4567</v>
      </c>
      <c r="J56" s="1053" t="s">
        <v>2833</v>
      </c>
      <c r="K56" s="1054" t="s">
        <v>3195</v>
      </c>
      <c r="L56" s="1054" t="s">
        <v>1448</v>
      </c>
      <c r="O56" s="131" t="str">
        <f t="shared" si="2"/>
        <v xml:space="preserve">   ZG7610   Semi Remolque Tolva</v>
      </c>
      <c r="P56" s="131" t="str">
        <f t="shared" si="1"/>
        <v> 1994</v>
      </c>
      <c r="R56" s="8"/>
      <c r="S56" s="8"/>
      <c r="T56" s="8"/>
      <c r="U56" s="8"/>
      <c r="V56" s="8"/>
      <c r="W56" s="8"/>
    </row>
    <row r="57" spans="2:23" s="131" customFormat="1">
      <c r="B57" s="8">
        <v>16</v>
      </c>
      <c r="C57" s="8">
        <v>224</v>
      </c>
      <c r="D57" s="1053">
        <v>46</v>
      </c>
      <c r="E57" s="1053" t="s">
        <v>966</v>
      </c>
      <c r="F57" s="1053" t="s">
        <v>3865</v>
      </c>
      <c r="G57" s="1053" t="s">
        <v>177</v>
      </c>
      <c r="H57" s="1053" t="s">
        <v>978</v>
      </c>
      <c r="I57" s="1053" t="s">
        <v>3095</v>
      </c>
      <c r="J57" s="1053" t="s">
        <v>2833</v>
      </c>
      <c r="K57" s="1054" t="s">
        <v>3195</v>
      </c>
      <c r="L57" s="1054" t="s">
        <v>2074</v>
      </c>
      <c r="O57" s="131" t="str">
        <f t="shared" si="2"/>
        <v xml:space="preserve">   ZG7861   Semi Remolque Tolva</v>
      </c>
      <c r="P57" s="131" t="str">
        <f t="shared" si="1"/>
        <v> 1996</v>
      </c>
      <c r="R57" s="8"/>
      <c r="S57" s="8"/>
      <c r="T57" s="8"/>
      <c r="U57" s="8"/>
      <c r="V57" s="8"/>
      <c r="W57" s="8"/>
    </row>
    <row r="58" spans="2:23" s="131" customFormat="1">
      <c r="B58" s="8">
        <v>17</v>
      </c>
      <c r="C58" s="8">
        <v>225</v>
      </c>
      <c r="D58" s="1053">
        <v>47</v>
      </c>
      <c r="E58" s="1053" t="s">
        <v>499</v>
      </c>
      <c r="F58" s="1053" t="s">
        <v>4224</v>
      </c>
      <c r="G58" s="1053" t="s">
        <v>177</v>
      </c>
      <c r="H58" s="1053" t="s">
        <v>4083</v>
      </c>
      <c r="I58" s="1053" t="s">
        <v>3095</v>
      </c>
      <c r="J58" s="1053" t="s">
        <v>667</v>
      </c>
      <c r="K58" s="1054" t="s">
        <v>3195</v>
      </c>
      <c r="L58" s="1054" t="s">
        <v>4225</v>
      </c>
      <c r="O58" s="131" t="str">
        <f t="shared" si="2"/>
        <v xml:space="preserve">   ZG7863   Semi Remolque Tolva</v>
      </c>
      <c r="P58" s="131" t="str">
        <f t="shared" si="1"/>
        <v> 1996</v>
      </c>
      <c r="R58" s="8"/>
      <c r="S58" s="8"/>
      <c r="T58" s="8"/>
      <c r="U58" s="8"/>
      <c r="V58" s="8"/>
      <c r="W58" s="8"/>
    </row>
    <row r="59" spans="2:23" s="131" customFormat="1">
      <c r="B59" s="8">
        <v>18</v>
      </c>
      <c r="C59" s="8">
        <v>226</v>
      </c>
      <c r="D59" s="1053">
        <v>48</v>
      </c>
      <c r="E59" s="1053" t="s">
        <v>2796</v>
      </c>
      <c r="F59" s="1053" t="s">
        <v>3465</v>
      </c>
      <c r="G59" s="1053" t="s">
        <v>177</v>
      </c>
      <c r="H59" s="1053" t="s">
        <v>3245</v>
      </c>
      <c r="I59" s="1053" t="s">
        <v>3095</v>
      </c>
      <c r="J59" s="1053" t="s">
        <v>2833</v>
      </c>
      <c r="K59" s="1054" t="s">
        <v>3195</v>
      </c>
      <c r="L59" s="1054" t="s">
        <v>3246</v>
      </c>
      <c r="O59" s="131" t="str">
        <f t="shared" si="2"/>
        <v xml:space="preserve">   ZG8181   Semi Remolque Tolva</v>
      </c>
      <c r="P59" s="131" t="str">
        <f t="shared" si="1"/>
        <v> 1996</v>
      </c>
      <c r="R59" s="8"/>
      <c r="S59" s="8"/>
      <c r="T59" s="8"/>
      <c r="U59" s="8"/>
      <c r="V59" s="8"/>
      <c r="W59" s="8"/>
    </row>
    <row r="60" spans="2:23" s="131" customFormat="1">
      <c r="B60" s="8">
        <v>19</v>
      </c>
      <c r="C60" s="8">
        <v>227</v>
      </c>
      <c r="D60" s="1053">
        <v>49</v>
      </c>
      <c r="E60" s="1053" t="s">
        <v>3248</v>
      </c>
      <c r="F60" s="1053" t="s">
        <v>1213</v>
      </c>
      <c r="G60" s="1053" t="s">
        <v>177</v>
      </c>
      <c r="H60" s="1053" t="s">
        <v>1959</v>
      </c>
      <c r="I60" s="1053" t="s">
        <v>1960</v>
      </c>
      <c r="J60" s="1053" t="s">
        <v>2833</v>
      </c>
      <c r="K60" s="1054" t="s">
        <v>3195</v>
      </c>
      <c r="L60" s="1054" t="s">
        <v>3246</v>
      </c>
      <c r="O60" s="131" t="str">
        <f t="shared" si="2"/>
        <v xml:space="preserve">   ZG8551   Semi Remolque Tolva</v>
      </c>
      <c r="P60" s="131" t="str">
        <f t="shared" si="1"/>
        <v> 1997</v>
      </c>
      <c r="R60" s="8"/>
      <c r="S60" s="8"/>
      <c r="T60" s="8"/>
      <c r="U60" s="8"/>
      <c r="V60" s="8"/>
      <c r="W60" s="8"/>
    </row>
    <row r="61" spans="2:23" s="131" customFormat="1">
      <c r="B61" s="8">
        <v>20</v>
      </c>
      <c r="C61" s="8">
        <v>228</v>
      </c>
      <c r="D61" s="1053">
        <v>50</v>
      </c>
      <c r="E61" s="1053" t="s">
        <v>1685</v>
      </c>
      <c r="F61" s="1053" t="s">
        <v>1214</v>
      </c>
      <c r="G61" s="1053" t="s">
        <v>177</v>
      </c>
      <c r="H61" s="1053" t="s">
        <v>2877</v>
      </c>
      <c r="I61" s="1053" t="s">
        <v>3095</v>
      </c>
      <c r="J61" s="1053" t="s">
        <v>667</v>
      </c>
      <c r="K61" s="1054" t="s">
        <v>3195</v>
      </c>
      <c r="L61" s="1054" t="s">
        <v>1215</v>
      </c>
      <c r="O61" s="131" t="str">
        <f t="shared" si="2"/>
        <v xml:space="preserve">   ZG8712   Semi Remolque Tolva</v>
      </c>
      <c r="P61" s="131" t="str">
        <f t="shared" si="1"/>
        <v> 1996</v>
      </c>
      <c r="R61" s="8"/>
      <c r="S61" s="8"/>
      <c r="T61" s="8"/>
      <c r="U61" s="8"/>
      <c r="V61" s="8"/>
      <c r="W61" s="8"/>
    </row>
    <row r="62" spans="2:23" s="131" customFormat="1">
      <c r="B62" s="8">
        <v>21</v>
      </c>
      <c r="C62" s="8">
        <v>229</v>
      </c>
      <c r="D62" s="1053">
        <v>51</v>
      </c>
      <c r="E62" s="1053" t="s">
        <v>2879</v>
      </c>
      <c r="F62" s="1053" t="s">
        <v>1216</v>
      </c>
      <c r="G62" s="1053" t="s">
        <v>177</v>
      </c>
      <c r="H62" s="1053" t="s">
        <v>4978</v>
      </c>
      <c r="I62" s="1053" t="s">
        <v>1960</v>
      </c>
      <c r="J62" s="1053" t="s">
        <v>2833</v>
      </c>
      <c r="K62" s="1054" t="s">
        <v>3195</v>
      </c>
      <c r="L62" s="1054" t="s">
        <v>3246</v>
      </c>
      <c r="O62" s="131" t="str">
        <f t="shared" si="2"/>
        <v xml:space="preserve">   ZG8742   Semi Remolque Tolva</v>
      </c>
      <c r="P62" s="131" t="str">
        <f t="shared" si="1"/>
        <v> 1997</v>
      </c>
      <c r="R62" s="8"/>
      <c r="S62" s="8"/>
      <c r="T62" s="8"/>
      <c r="U62" s="8"/>
      <c r="V62" s="8"/>
      <c r="W62" s="8"/>
    </row>
    <row r="63" spans="2:23" s="131" customFormat="1">
      <c r="B63" s="8">
        <v>22</v>
      </c>
      <c r="C63" s="8">
        <v>230</v>
      </c>
      <c r="D63" s="1053">
        <v>52</v>
      </c>
      <c r="E63" s="1053" t="s">
        <v>2290</v>
      </c>
      <c r="F63" s="1053" t="s">
        <v>1217</v>
      </c>
      <c r="G63" s="1053" t="s">
        <v>177</v>
      </c>
      <c r="H63" s="1053" t="s">
        <v>2292</v>
      </c>
      <c r="I63" s="1053" t="s">
        <v>673</v>
      </c>
      <c r="J63" s="1053" t="s">
        <v>2833</v>
      </c>
      <c r="K63" s="1054" t="s">
        <v>674</v>
      </c>
      <c r="L63" s="1054" t="s">
        <v>675</v>
      </c>
      <c r="O63" s="131" t="str">
        <f t="shared" si="2"/>
        <v xml:space="preserve">   ZG9419   Semi Remolque Tolva</v>
      </c>
      <c r="P63" s="131" t="str">
        <f t="shared" si="1"/>
        <v> 1998</v>
      </c>
      <c r="R63" s="8"/>
      <c r="S63" s="8"/>
      <c r="T63" s="8"/>
      <c r="U63" s="8"/>
      <c r="V63" s="8"/>
      <c r="W63" s="8"/>
    </row>
    <row r="64" spans="2:23" s="2134" customFormat="1">
      <c r="B64" s="2130">
        <v>23</v>
      </c>
      <c r="C64" s="2131">
        <v>231</v>
      </c>
      <c r="D64" s="2132">
        <v>53</v>
      </c>
      <c r="E64" s="2132" t="s">
        <v>4758</v>
      </c>
      <c r="F64" s="2132" t="s">
        <v>2800</v>
      </c>
      <c r="G64" s="2132" t="s">
        <v>177</v>
      </c>
      <c r="H64" s="2132" t="s">
        <v>4760</v>
      </c>
      <c r="I64" s="2132" t="s">
        <v>673</v>
      </c>
      <c r="J64" s="2132" t="s">
        <v>2833</v>
      </c>
      <c r="K64" s="2133" t="s">
        <v>674</v>
      </c>
      <c r="L64" s="2133" t="s">
        <v>675</v>
      </c>
      <c r="O64" s="2134" t="str">
        <f t="shared" si="2"/>
        <v xml:space="preserve">   ZG9569   Semi Remolque Tolva</v>
      </c>
      <c r="P64" s="2134" t="str">
        <f t="shared" si="1"/>
        <v> 1998</v>
      </c>
      <c r="R64" s="2130"/>
      <c r="S64" s="2130"/>
      <c r="T64" s="2130"/>
      <c r="U64" s="2130"/>
      <c r="V64" s="2130"/>
      <c r="W64" s="2130"/>
    </row>
    <row r="65" spans="2:23" s="131" customFormat="1">
      <c r="B65" s="8">
        <v>24</v>
      </c>
      <c r="C65" s="8">
        <v>232</v>
      </c>
      <c r="D65" s="1053">
        <v>54</v>
      </c>
      <c r="E65" s="1053" t="s">
        <v>3093</v>
      </c>
      <c r="F65" s="1053" t="s">
        <v>1594</v>
      </c>
      <c r="G65" s="1053" t="s">
        <v>177</v>
      </c>
      <c r="H65" s="1053" t="s">
        <v>1802</v>
      </c>
      <c r="I65" s="1053" t="s">
        <v>673</v>
      </c>
      <c r="J65" s="1053" t="s">
        <v>2833</v>
      </c>
      <c r="K65" s="1054" t="s">
        <v>674</v>
      </c>
      <c r="L65" s="1054" t="s">
        <v>675</v>
      </c>
      <c r="O65" s="131" t="str">
        <f t="shared" si="2"/>
        <v xml:space="preserve">   ZG9567   Semi Remolque Tolva</v>
      </c>
      <c r="P65" s="131" t="str">
        <f t="shared" si="1"/>
        <v> 1998</v>
      </c>
      <c r="R65" s="8"/>
      <c r="S65" s="8"/>
      <c r="T65" s="8"/>
      <c r="U65" s="8"/>
      <c r="V65" s="8"/>
      <c r="W65" s="8"/>
    </row>
    <row r="66" spans="2:23" s="131" customFormat="1">
      <c r="B66" s="8">
        <v>25</v>
      </c>
      <c r="C66" s="8">
        <v>233</v>
      </c>
      <c r="D66" s="1053">
        <v>55</v>
      </c>
      <c r="E66" s="1053" t="s">
        <v>1804</v>
      </c>
      <c r="F66" s="1053" t="s">
        <v>2799</v>
      </c>
      <c r="G66" s="1053" t="s">
        <v>177</v>
      </c>
      <c r="H66" s="1053" t="s">
        <v>3775</v>
      </c>
      <c r="I66" s="1053" t="s">
        <v>673</v>
      </c>
      <c r="J66" s="1053" t="s">
        <v>2833</v>
      </c>
      <c r="K66" s="1054" t="s">
        <v>674</v>
      </c>
      <c r="L66" s="1054" t="s">
        <v>675</v>
      </c>
      <c r="O66" s="131" t="str">
        <f t="shared" si="2"/>
        <v xml:space="preserve">   ZG9568   Semi Remolque Tolva</v>
      </c>
      <c r="P66" s="131" t="str">
        <f t="shared" si="1"/>
        <v> 1998</v>
      </c>
      <c r="R66" s="8"/>
      <c r="S66" s="8"/>
      <c r="T66" s="8"/>
      <c r="U66" s="8"/>
      <c r="V66" s="8"/>
      <c r="W66" s="8"/>
    </row>
    <row r="67" spans="2:23" s="131" customFormat="1">
      <c r="B67" s="8">
        <v>26</v>
      </c>
      <c r="C67" s="8">
        <v>234</v>
      </c>
      <c r="D67" s="1053">
        <v>56</v>
      </c>
      <c r="E67" s="1053" t="s">
        <v>4029</v>
      </c>
      <c r="F67" s="1053" t="s">
        <v>4855</v>
      </c>
      <c r="G67" s="1053" t="s">
        <v>177</v>
      </c>
      <c r="H67" s="1053" t="s">
        <v>4031</v>
      </c>
      <c r="I67" s="1053" t="s">
        <v>581</v>
      </c>
      <c r="J67" s="1053" t="s">
        <v>2833</v>
      </c>
      <c r="K67" s="1054" t="s">
        <v>3195</v>
      </c>
      <c r="L67" s="1054" t="s">
        <v>3246</v>
      </c>
      <c r="O67" s="131" t="str">
        <f t="shared" si="2"/>
        <v xml:space="preserve">   ZI1274   Semi Remolque Tolva</v>
      </c>
      <c r="P67" s="131" t="str">
        <f t="shared" si="1"/>
        <v> 1999</v>
      </c>
      <c r="R67" s="8"/>
      <c r="S67" s="8"/>
      <c r="T67" s="8"/>
      <c r="U67" s="8"/>
      <c r="V67" s="8"/>
      <c r="W67" s="8"/>
    </row>
    <row r="68" spans="2:23" s="131" customFormat="1">
      <c r="B68" s="8">
        <v>27</v>
      </c>
      <c r="C68" s="8">
        <v>235</v>
      </c>
      <c r="D68" s="1053">
        <v>57</v>
      </c>
      <c r="E68" s="1053" t="s">
        <v>4021</v>
      </c>
      <c r="F68" s="1053" t="s">
        <v>4856</v>
      </c>
      <c r="G68" s="1053" t="s">
        <v>177</v>
      </c>
      <c r="H68" s="1053" t="s">
        <v>4249</v>
      </c>
      <c r="I68" s="1053" t="s">
        <v>581</v>
      </c>
      <c r="J68" s="1053" t="s">
        <v>667</v>
      </c>
      <c r="K68" s="1054" t="s">
        <v>3195</v>
      </c>
      <c r="L68" s="1054" t="s">
        <v>4857</v>
      </c>
      <c r="O68" s="131" t="str">
        <f t="shared" si="2"/>
        <v xml:space="preserve">   ZI1275   Semi Remolque Tolva</v>
      </c>
      <c r="P68" s="131" t="str">
        <f t="shared" si="1"/>
        <v> 1999</v>
      </c>
      <c r="R68" s="8"/>
      <c r="S68" s="8"/>
      <c r="T68" s="8"/>
      <c r="U68" s="8"/>
      <c r="V68" s="8"/>
      <c r="W68" s="8"/>
    </row>
    <row r="69" spans="2:23" s="131" customFormat="1">
      <c r="B69" s="8">
        <v>1</v>
      </c>
      <c r="C69" s="8">
        <v>302</v>
      </c>
      <c r="D69" s="1053">
        <v>58</v>
      </c>
      <c r="E69" s="1053" t="s">
        <v>4507</v>
      </c>
      <c r="F69" s="1053" t="s">
        <v>2957</v>
      </c>
      <c r="G69" s="1053" t="s">
        <v>177</v>
      </c>
      <c r="H69" s="1053" t="s">
        <v>956</v>
      </c>
      <c r="I69" s="1053" t="s">
        <v>1788</v>
      </c>
      <c r="J69" s="1053" t="s">
        <v>667</v>
      </c>
      <c r="K69" s="1054" t="s">
        <v>3060</v>
      </c>
      <c r="L69" s="1054" t="s">
        <v>2546</v>
      </c>
      <c r="O69" s="131" t="str">
        <f>CONCATENATE("  ",E69,"  ",G69," Plataforma" )</f>
        <v xml:space="preserve">   ZG1462   Semi Remolque Plataforma</v>
      </c>
      <c r="P69" s="131" t="str">
        <f t="shared" si="1"/>
        <v> 1962</v>
      </c>
      <c r="R69" s="8"/>
      <c r="S69" s="8"/>
      <c r="T69" s="8"/>
      <c r="U69" s="8"/>
      <c r="V69" s="8"/>
      <c r="W69" s="8"/>
    </row>
    <row r="70" spans="2:23" s="131" customFormat="1">
      <c r="B70" s="8">
        <v>2</v>
      </c>
      <c r="C70" s="8">
        <v>308</v>
      </c>
      <c r="D70" s="1053">
        <v>59</v>
      </c>
      <c r="E70" s="1053" t="s">
        <v>1845</v>
      </c>
      <c r="F70" s="1053" t="s">
        <v>2956</v>
      </c>
      <c r="G70" s="1053" t="s">
        <v>177</v>
      </c>
      <c r="H70" s="1053" t="s">
        <v>1847</v>
      </c>
      <c r="I70" s="1053" t="s">
        <v>1788</v>
      </c>
      <c r="J70" s="1053" t="s">
        <v>667</v>
      </c>
      <c r="K70" s="1054" t="s">
        <v>1848</v>
      </c>
      <c r="L70" s="1054" t="s">
        <v>4569</v>
      </c>
      <c r="O70" s="131" t="str">
        <f t="shared" ref="O70:O80" si="3">CONCATENATE("  ",E70,"  ",G70," Plataforma" )</f>
        <v xml:space="preserve">   ZG1432   Semi Remolque Plataforma</v>
      </c>
      <c r="P70" s="131" t="str">
        <f t="shared" si="1"/>
        <v> 1962</v>
      </c>
      <c r="R70" s="8"/>
      <c r="S70" s="8"/>
      <c r="T70" s="8"/>
      <c r="U70" s="8"/>
      <c r="V70" s="8"/>
      <c r="W70" s="8"/>
    </row>
    <row r="71" spans="2:23" s="131" customFormat="1">
      <c r="B71" s="8">
        <v>3</v>
      </c>
      <c r="C71" s="8">
        <v>315</v>
      </c>
      <c r="D71" s="1053">
        <v>60</v>
      </c>
      <c r="E71" s="1053" t="s">
        <v>3385</v>
      </c>
      <c r="F71" s="1053" t="s">
        <v>1707</v>
      </c>
      <c r="G71" s="1053" t="s">
        <v>177</v>
      </c>
      <c r="H71" s="1053" t="s">
        <v>4421</v>
      </c>
      <c r="I71" s="1053" t="s">
        <v>2832</v>
      </c>
      <c r="J71" s="1053" t="s">
        <v>667</v>
      </c>
      <c r="K71" s="1054" t="s">
        <v>1848</v>
      </c>
      <c r="L71" s="1054" t="s">
        <v>1708</v>
      </c>
      <c r="O71" s="131" t="str">
        <f t="shared" si="3"/>
        <v xml:space="preserve">   ZG1507   Semi Remolque Plataforma</v>
      </c>
      <c r="P71" s="131" t="str">
        <f t="shared" si="1"/>
        <v> 1963</v>
      </c>
      <c r="R71" s="8"/>
      <c r="S71" s="8"/>
      <c r="T71" s="8"/>
      <c r="U71" s="8"/>
      <c r="V71" s="8"/>
      <c r="W71" s="8"/>
    </row>
    <row r="72" spans="2:23" s="131" customFormat="1">
      <c r="B72" s="8">
        <v>4</v>
      </c>
      <c r="C72" s="1058">
        <v>324</v>
      </c>
      <c r="D72" s="1053">
        <v>61</v>
      </c>
      <c r="E72" s="1064" t="s">
        <v>4489</v>
      </c>
      <c r="F72" s="1053" t="s">
        <v>2736</v>
      </c>
      <c r="G72" s="1053" t="s">
        <v>177</v>
      </c>
      <c r="H72" s="1053" t="s">
        <v>1452</v>
      </c>
      <c r="I72" s="1053" t="s">
        <v>2832</v>
      </c>
      <c r="J72" s="1053" t="s">
        <v>667</v>
      </c>
      <c r="K72" s="1054" t="s">
        <v>1848</v>
      </c>
      <c r="L72" s="1054" t="s">
        <v>3165</v>
      </c>
      <c r="O72" s="131" t="str">
        <f t="shared" si="3"/>
        <v xml:space="preserve">   ZG1682   Semi Remolque Plataforma</v>
      </c>
      <c r="P72" s="131" t="str">
        <f t="shared" si="1"/>
        <v> 1963</v>
      </c>
      <c r="R72" s="8"/>
      <c r="S72" s="8"/>
      <c r="T72" s="8"/>
      <c r="U72" s="8"/>
      <c r="V72" s="8"/>
      <c r="W72" s="8"/>
    </row>
    <row r="73" spans="2:23" s="131" customFormat="1">
      <c r="B73" s="8">
        <v>5</v>
      </c>
      <c r="C73" s="8">
        <v>332</v>
      </c>
      <c r="D73" s="1053">
        <v>62</v>
      </c>
      <c r="E73" s="1053" t="s">
        <v>3418</v>
      </c>
      <c r="F73" s="1053" t="s">
        <v>2737</v>
      </c>
      <c r="G73" s="1053" t="s">
        <v>2738</v>
      </c>
      <c r="H73" s="1053" t="s">
        <v>1567</v>
      </c>
      <c r="I73" s="1053" t="s">
        <v>1568</v>
      </c>
      <c r="J73" s="1053" t="s">
        <v>667</v>
      </c>
      <c r="K73" s="1054" t="s">
        <v>1569</v>
      </c>
      <c r="L73" s="1054" t="s">
        <v>560</v>
      </c>
      <c r="O73" s="131" t="str">
        <f t="shared" si="3"/>
        <v xml:space="preserve">   ZG3004   Remolque Plataforma</v>
      </c>
      <c r="P73" s="131" t="str">
        <f t="shared" si="1"/>
        <v> 1980</v>
      </c>
      <c r="R73" s="8"/>
      <c r="S73" s="8"/>
      <c r="T73" s="8"/>
      <c r="U73" s="8"/>
      <c r="V73" s="8"/>
      <c r="W73" s="8"/>
    </row>
    <row r="74" spans="2:23" s="131" customFormat="1">
      <c r="B74" s="8">
        <v>6</v>
      </c>
      <c r="C74" s="8">
        <v>338</v>
      </c>
      <c r="D74" s="1053">
        <v>63</v>
      </c>
      <c r="E74" s="1053" t="s">
        <v>1818</v>
      </c>
      <c r="F74" s="1053" t="s">
        <v>2825</v>
      </c>
      <c r="G74" s="1053" t="s">
        <v>177</v>
      </c>
      <c r="H74" s="1053" t="s">
        <v>1163</v>
      </c>
      <c r="I74" s="1053" t="s">
        <v>1023</v>
      </c>
      <c r="J74" s="1053" t="s">
        <v>667</v>
      </c>
      <c r="K74" s="1054" t="s">
        <v>1024</v>
      </c>
      <c r="L74" s="1054" t="s">
        <v>577</v>
      </c>
      <c r="O74" s="131" t="str">
        <f t="shared" si="3"/>
        <v xml:space="preserve">   ZG3485   Semi Remolque Plataforma</v>
      </c>
      <c r="P74" s="131" t="str">
        <f t="shared" si="1"/>
        <v> 1981</v>
      </c>
      <c r="R74" s="8"/>
      <c r="S74" s="8"/>
      <c r="T74" s="8"/>
      <c r="U74" s="8"/>
      <c r="V74" s="8"/>
      <c r="W74" s="8"/>
    </row>
    <row r="75" spans="2:23" s="131" customFormat="1">
      <c r="B75" s="8">
        <v>7</v>
      </c>
      <c r="C75" s="1058">
        <v>339</v>
      </c>
      <c r="D75" s="1053">
        <v>64</v>
      </c>
      <c r="E75" s="1064" t="s">
        <v>690</v>
      </c>
      <c r="F75" s="1053" t="s">
        <v>2826</v>
      </c>
      <c r="G75" s="1053" t="s">
        <v>177</v>
      </c>
      <c r="H75" s="1053" t="s">
        <v>2893</v>
      </c>
      <c r="I75" s="1053" t="s">
        <v>1023</v>
      </c>
      <c r="J75" s="1053" t="s">
        <v>667</v>
      </c>
      <c r="K75" s="1054" t="s">
        <v>1024</v>
      </c>
      <c r="L75" s="1054" t="s">
        <v>3828</v>
      </c>
      <c r="O75" s="131" t="str">
        <f t="shared" si="3"/>
        <v xml:space="preserve">   ZG3486   Semi Remolque Plataforma</v>
      </c>
      <c r="P75" s="131" t="str">
        <f t="shared" si="1"/>
        <v> 1981</v>
      </c>
      <c r="R75" s="8"/>
      <c r="S75" s="8"/>
      <c r="T75" s="8"/>
      <c r="U75" s="8"/>
      <c r="V75" s="8"/>
      <c r="W75" s="8"/>
    </row>
    <row r="76" spans="2:23" s="131" customFormat="1">
      <c r="B76" s="8">
        <v>8</v>
      </c>
      <c r="C76" s="8">
        <v>342</v>
      </c>
      <c r="D76" s="1053">
        <v>65</v>
      </c>
      <c r="E76" s="1053" t="s">
        <v>1654</v>
      </c>
      <c r="F76" s="1053" t="s">
        <v>955</v>
      </c>
      <c r="G76" s="1053" t="s">
        <v>177</v>
      </c>
      <c r="H76" s="1053" t="s">
        <v>1377</v>
      </c>
      <c r="I76" s="1053" t="s">
        <v>1023</v>
      </c>
      <c r="J76" s="1053" t="s">
        <v>667</v>
      </c>
      <c r="K76" s="1054" t="s">
        <v>1024</v>
      </c>
      <c r="L76" s="1054" t="s">
        <v>1378</v>
      </c>
      <c r="O76" s="131" t="str">
        <f t="shared" si="3"/>
        <v xml:space="preserve">   ZG3489   Semi Remolque Plataforma</v>
      </c>
      <c r="P76" s="131" t="str">
        <f t="shared" si="1"/>
        <v> 1981</v>
      </c>
      <c r="R76" s="8"/>
      <c r="S76" s="8"/>
      <c r="T76" s="8"/>
      <c r="U76" s="8"/>
      <c r="V76" s="8"/>
      <c r="W76" s="8"/>
    </row>
    <row r="77" spans="2:23" s="131" customFormat="1">
      <c r="B77" s="8">
        <v>9</v>
      </c>
      <c r="C77" s="8">
        <v>343</v>
      </c>
      <c r="D77" s="1053">
        <v>66</v>
      </c>
      <c r="E77" s="1053" t="s">
        <v>2124</v>
      </c>
      <c r="F77" s="1053" t="s">
        <v>3390</v>
      </c>
      <c r="G77" s="1053" t="s">
        <v>177</v>
      </c>
      <c r="H77" s="1053" t="s">
        <v>613</v>
      </c>
      <c r="I77" s="1053" t="s">
        <v>1023</v>
      </c>
      <c r="J77" s="1053" t="s">
        <v>667</v>
      </c>
      <c r="K77" s="1054" t="s">
        <v>1024</v>
      </c>
      <c r="L77" s="1054" t="s">
        <v>3828</v>
      </c>
      <c r="O77" s="131" t="str">
        <f t="shared" si="3"/>
        <v xml:space="preserve">   ZG3490   Semi Remolque Plataforma</v>
      </c>
      <c r="P77" s="131" t="str">
        <f>+I77</f>
        <v> 1981</v>
      </c>
      <c r="R77" s="8"/>
      <c r="S77" s="8"/>
      <c r="T77" s="8"/>
      <c r="U77" s="8"/>
      <c r="V77" s="8"/>
      <c r="W77" s="8"/>
    </row>
    <row r="78" spans="2:23" s="131" customFormat="1">
      <c r="B78" s="8">
        <v>10</v>
      </c>
      <c r="C78" s="8">
        <v>344</v>
      </c>
      <c r="D78" s="1053">
        <v>67</v>
      </c>
      <c r="E78" s="1053" t="s">
        <v>4342</v>
      </c>
      <c r="F78" s="1053" t="s">
        <v>3391</v>
      </c>
      <c r="G78" s="1053" t="s">
        <v>177</v>
      </c>
      <c r="H78" s="1053" t="s">
        <v>4351</v>
      </c>
      <c r="I78" s="1053" t="s">
        <v>1023</v>
      </c>
      <c r="J78" s="1053" t="s">
        <v>667</v>
      </c>
      <c r="K78" s="1054" t="s">
        <v>1024</v>
      </c>
      <c r="L78" s="1054" t="s">
        <v>3828</v>
      </c>
      <c r="O78" s="131" t="str">
        <f t="shared" si="3"/>
        <v xml:space="preserve">   ZG3491   Semi Remolque Plataforma</v>
      </c>
      <c r="P78" s="131" t="str">
        <f>+I78</f>
        <v> 1981</v>
      </c>
      <c r="R78" s="8"/>
      <c r="S78" s="8"/>
      <c r="T78" s="8"/>
      <c r="U78" s="8"/>
      <c r="V78" s="8"/>
      <c r="W78" s="8"/>
    </row>
    <row r="79" spans="2:23" s="131" customFormat="1">
      <c r="B79" s="8">
        <v>11</v>
      </c>
      <c r="C79" s="8">
        <v>356</v>
      </c>
      <c r="D79" s="1053">
        <v>68</v>
      </c>
      <c r="E79" s="1053" t="s">
        <v>990</v>
      </c>
      <c r="F79" s="1053" t="s">
        <v>2541</v>
      </c>
      <c r="G79" s="1053" t="s">
        <v>177</v>
      </c>
      <c r="H79" s="1053" t="s">
        <v>992</v>
      </c>
      <c r="I79" s="1053" t="s">
        <v>3095</v>
      </c>
      <c r="J79" s="1053" t="s">
        <v>667</v>
      </c>
      <c r="K79" s="1054" t="s">
        <v>3992</v>
      </c>
      <c r="L79" s="1054" t="s">
        <v>2542</v>
      </c>
      <c r="O79" s="131" t="str">
        <f t="shared" si="3"/>
        <v xml:space="preserve">   ZG7952   Semi Remolque Plataforma</v>
      </c>
      <c r="P79" s="131" t="str">
        <f>+I79</f>
        <v> 1996</v>
      </c>
      <c r="R79" s="8"/>
      <c r="S79" s="8"/>
      <c r="T79" s="8"/>
      <c r="U79" s="8"/>
      <c r="V79" s="8"/>
      <c r="W79" s="8"/>
    </row>
    <row r="80" spans="2:23" s="131" customFormat="1">
      <c r="B80" s="8">
        <v>12</v>
      </c>
      <c r="C80" s="8">
        <v>357</v>
      </c>
      <c r="D80" s="1053">
        <v>69</v>
      </c>
      <c r="E80" s="1053" t="s">
        <v>4858</v>
      </c>
      <c r="F80" s="1053" t="s">
        <v>2809</v>
      </c>
      <c r="G80" s="1053" t="s">
        <v>177</v>
      </c>
      <c r="H80" s="1053" t="s">
        <v>2810</v>
      </c>
      <c r="I80" s="1053" t="s">
        <v>2811</v>
      </c>
      <c r="J80" s="1053" t="s">
        <v>667</v>
      </c>
      <c r="K80" s="1054" t="s">
        <v>3195</v>
      </c>
      <c r="L80" s="1054" t="s">
        <v>4101</v>
      </c>
      <c r="O80" s="131" t="str">
        <f t="shared" si="3"/>
        <v xml:space="preserve">   ZQ1428   Semi Remolque Plataforma</v>
      </c>
      <c r="P80" s="131" t="str">
        <f>+I80</f>
        <v> 2008</v>
      </c>
      <c r="R80" s="8"/>
      <c r="S80" s="8"/>
      <c r="T80" s="8"/>
      <c r="U80" s="8"/>
      <c r="V80" s="8"/>
      <c r="W80" s="8"/>
    </row>
    <row r="83" spans="3:12">
      <c r="C83" s="131"/>
      <c r="D83" s="131"/>
      <c r="E83" s="131"/>
      <c r="F83" s="131"/>
      <c r="G83" s="131"/>
      <c r="H83" s="131"/>
    </row>
    <row r="84" spans="3:12">
      <c r="C84" s="1059">
        <v>109</v>
      </c>
      <c r="D84" s="131" t="s">
        <v>4372</v>
      </c>
      <c r="E84" t="s">
        <v>206</v>
      </c>
      <c r="G84" s="131" t="s">
        <v>3854</v>
      </c>
      <c r="H84" s="131"/>
    </row>
    <row r="85" spans="3:12">
      <c r="C85" s="1059">
        <v>213</v>
      </c>
      <c r="D85" s="131" t="s">
        <v>4361</v>
      </c>
      <c r="E85" t="s">
        <v>2156</v>
      </c>
      <c r="G85" s="131" t="s">
        <v>3854</v>
      </c>
      <c r="H85" s="131"/>
    </row>
    <row r="88" spans="3:12">
      <c r="D88" s="1055" t="s">
        <v>4403</v>
      </c>
      <c r="E88" s="131"/>
      <c r="F88" s="1052"/>
      <c r="G88" s="131"/>
      <c r="H88" s="131"/>
      <c r="I88" s="131"/>
      <c r="J88" s="131"/>
      <c r="K88" s="131"/>
      <c r="L88" s="131"/>
    </row>
    <row r="89" spans="3:12">
      <c r="D89" s="1050" t="s">
        <v>1108</v>
      </c>
      <c r="E89" s="131"/>
      <c r="F89" s="131"/>
      <c r="G89" s="1078" t="s">
        <v>1532</v>
      </c>
      <c r="H89" s="1079"/>
      <c r="I89" s="1079"/>
      <c r="J89" s="1079"/>
      <c r="K89" s="1079"/>
      <c r="L89" s="131"/>
    </row>
    <row r="90" spans="3:12">
      <c r="D90" s="1050" t="s">
        <v>4493</v>
      </c>
      <c r="E90" s="131"/>
      <c r="F90" s="131"/>
      <c r="G90" s="1051" t="s">
        <v>4263</v>
      </c>
      <c r="H90" s="131"/>
      <c r="I90" s="131"/>
      <c r="J90" s="131"/>
      <c r="K90" s="131"/>
      <c r="L90" s="131"/>
    </row>
    <row r="91" spans="3:12">
      <c r="D91" s="1050" t="s">
        <v>1677</v>
      </c>
      <c r="E91" s="131"/>
      <c r="F91" s="131"/>
      <c r="G91" s="1051" t="s">
        <v>4264</v>
      </c>
      <c r="H91" s="131"/>
      <c r="I91" s="131"/>
      <c r="J91" s="131"/>
      <c r="K91" s="131"/>
      <c r="L91" s="131"/>
    </row>
    <row r="92" spans="3:12" ht="13.5" thickBot="1">
      <c r="C92" s="1116" t="s">
        <v>1835</v>
      </c>
      <c r="D92" s="1117" t="s">
        <v>1098</v>
      </c>
      <c r="E92" s="1117" t="s">
        <v>3591</v>
      </c>
      <c r="F92" s="1117" t="s">
        <v>2757</v>
      </c>
      <c r="G92" s="1117" t="s">
        <v>5004</v>
      </c>
      <c r="H92" s="1117" t="s">
        <v>4319</v>
      </c>
      <c r="I92" s="1117" t="s">
        <v>4320</v>
      </c>
      <c r="J92" s="1117" t="s">
        <v>4321</v>
      </c>
      <c r="K92" s="1118" t="s">
        <v>1520</v>
      </c>
      <c r="L92" s="1118" t="s">
        <v>4070</v>
      </c>
    </row>
    <row r="93" spans="3:12" ht="14.25">
      <c r="C93" s="1143">
        <v>200</v>
      </c>
      <c r="D93" s="1144">
        <v>1</v>
      </c>
      <c r="E93" s="1144" t="s">
        <v>1065</v>
      </c>
      <c r="F93" s="1144" t="s">
        <v>3392</v>
      </c>
      <c r="G93" s="1144" t="s">
        <v>177</v>
      </c>
      <c r="H93" s="1144" t="s">
        <v>3463</v>
      </c>
      <c r="I93" s="1144" t="s">
        <v>755</v>
      </c>
      <c r="J93" s="1147" t="s">
        <v>2833</v>
      </c>
      <c r="K93" s="1145" t="s">
        <v>4864</v>
      </c>
      <c r="L93" s="1146" t="s">
        <v>1961</v>
      </c>
    </row>
    <row r="94" spans="3:12" ht="14.25">
      <c r="C94" s="31">
        <v>201</v>
      </c>
      <c r="D94" s="1114">
        <v>2</v>
      </c>
      <c r="E94" s="1114" t="s">
        <v>471</v>
      </c>
      <c r="F94" s="1114" t="s">
        <v>3393</v>
      </c>
      <c r="G94" s="1114" t="s">
        <v>177</v>
      </c>
      <c r="H94" s="1114" t="s">
        <v>661</v>
      </c>
      <c r="I94" s="1114" t="s">
        <v>755</v>
      </c>
      <c r="J94" s="1148" t="s">
        <v>2833</v>
      </c>
      <c r="K94" s="1115" t="s">
        <v>271</v>
      </c>
      <c r="L94" s="1122" t="s">
        <v>2371</v>
      </c>
    </row>
    <row r="95" spans="3:12" ht="14.25">
      <c r="C95" s="1135">
        <v>202</v>
      </c>
      <c r="D95" s="1136">
        <v>3</v>
      </c>
      <c r="E95" s="1136" t="s">
        <v>1360</v>
      </c>
      <c r="F95" s="1136" t="s">
        <v>3296</v>
      </c>
      <c r="G95" s="1136" t="s">
        <v>177</v>
      </c>
      <c r="H95" s="1136" t="s">
        <v>1248</v>
      </c>
      <c r="I95" s="1136" t="s">
        <v>755</v>
      </c>
      <c r="J95" s="1149" t="s">
        <v>2833</v>
      </c>
      <c r="K95" s="1137" t="s">
        <v>4864</v>
      </c>
      <c r="L95" s="1138" t="s">
        <v>1961</v>
      </c>
    </row>
    <row r="96" spans="3:12" ht="14.25">
      <c r="C96" s="1135">
        <v>204</v>
      </c>
      <c r="D96" s="1136">
        <v>4</v>
      </c>
      <c r="E96" s="1136" t="s">
        <v>1841</v>
      </c>
      <c r="F96" s="1136" t="s">
        <v>2244</v>
      </c>
      <c r="G96" s="1136" t="s">
        <v>177</v>
      </c>
      <c r="H96" s="1136" t="s">
        <v>2972</v>
      </c>
      <c r="I96" s="1136" t="s">
        <v>755</v>
      </c>
      <c r="J96" s="1149" t="s">
        <v>2833</v>
      </c>
      <c r="K96" s="1137" t="s">
        <v>4864</v>
      </c>
      <c r="L96" s="1138" t="s">
        <v>1961</v>
      </c>
    </row>
    <row r="97" spans="3:12" ht="14.25">
      <c r="C97" s="1135">
        <v>207</v>
      </c>
      <c r="D97" s="1136">
        <v>5</v>
      </c>
      <c r="E97" s="1136" t="s">
        <v>1090</v>
      </c>
      <c r="F97" s="1136" t="s">
        <v>4648</v>
      </c>
      <c r="G97" s="1136" t="s">
        <v>177</v>
      </c>
      <c r="H97" s="1136" t="s">
        <v>2352</v>
      </c>
      <c r="I97" s="1136" t="s">
        <v>755</v>
      </c>
      <c r="J97" s="1149" t="s">
        <v>2833</v>
      </c>
      <c r="K97" s="1137" t="s">
        <v>4864</v>
      </c>
      <c r="L97" s="1138" t="s">
        <v>1961</v>
      </c>
    </row>
    <row r="98" spans="3:12" ht="14.25">
      <c r="C98" s="1139">
        <v>209</v>
      </c>
      <c r="D98" s="1136">
        <v>6</v>
      </c>
      <c r="E98" s="1140" t="s">
        <v>3027</v>
      </c>
      <c r="F98" s="1140" t="s">
        <v>514</v>
      </c>
      <c r="G98" s="1140" t="s">
        <v>177</v>
      </c>
      <c r="H98" s="1140" t="s">
        <v>3561</v>
      </c>
      <c r="I98" s="1140" t="s">
        <v>755</v>
      </c>
      <c r="J98" s="1150" t="s">
        <v>2833</v>
      </c>
      <c r="K98" s="1141" t="s">
        <v>4864</v>
      </c>
      <c r="L98" s="1142" t="s">
        <v>1961</v>
      </c>
    </row>
    <row r="99" spans="3:12" ht="15" thickBot="1">
      <c r="C99" s="1130">
        <v>210</v>
      </c>
      <c r="D99" s="1131">
        <v>7</v>
      </c>
      <c r="E99" s="1132" t="s">
        <v>211</v>
      </c>
      <c r="F99" s="1132" t="s">
        <v>515</v>
      </c>
      <c r="G99" s="1132" t="s">
        <v>177</v>
      </c>
      <c r="H99" s="1132" t="s">
        <v>1919</v>
      </c>
      <c r="I99" s="1132" t="s">
        <v>755</v>
      </c>
      <c r="J99" s="1151" t="s">
        <v>2833</v>
      </c>
      <c r="K99" s="1133" t="s">
        <v>4864</v>
      </c>
      <c r="L99" s="1134" t="s">
        <v>1961</v>
      </c>
    </row>
    <row r="100" spans="3:12" ht="14.25">
      <c r="C100" s="1143">
        <v>216</v>
      </c>
      <c r="D100" s="1144">
        <v>8</v>
      </c>
      <c r="E100" s="1144" t="s">
        <v>4571</v>
      </c>
      <c r="F100" s="1144" t="s">
        <v>1243</v>
      </c>
      <c r="G100" s="1144" t="s">
        <v>177</v>
      </c>
      <c r="H100" s="1144" t="s">
        <v>2873</v>
      </c>
      <c r="I100" s="1144" t="s">
        <v>4567</v>
      </c>
      <c r="J100" s="1147" t="s">
        <v>2833</v>
      </c>
      <c r="K100" s="1145" t="s">
        <v>4864</v>
      </c>
      <c r="L100" s="1146" t="s">
        <v>1961</v>
      </c>
    </row>
    <row r="101" spans="3:12" ht="14.25">
      <c r="C101" s="31">
        <v>218</v>
      </c>
      <c r="D101" s="1114">
        <v>9</v>
      </c>
      <c r="E101" s="1114" t="s">
        <v>4961</v>
      </c>
      <c r="F101" s="1114" t="s">
        <v>3506</v>
      </c>
      <c r="G101" s="1114" t="s">
        <v>177</v>
      </c>
      <c r="H101" s="1114" t="s">
        <v>4604</v>
      </c>
      <c r="I101" s="1114" t="s">
        <v>4567</v>
      </c>
      <c r="J101" s="1148" t="s">
        <v>2833</v>
      </c>
      <c r="K101" s="1115" t="s">
        <v>4568</v>
      </c>
      <c r="L101" s="1122" t="s">
        <v>4569</v>
      </c>
    </row>
    <row r="102" spans="3:12" ht="14.25">
      <c r="C102" s="31">
        <v>219</v>
      </c>
      <c r="D102" s="1114">
        <v>10</v>
      </c>
      <c r="E102" s="1114" t="s">
        <v>3907</v>
      </c>
      <c r="F102" s="1114" t="s">
        <v>4920</v>
      </c>
      <c r="G102" s="1114" t="s">
        <v>177</v>
      </c>
      <c r="H102" s="1114" t="s">
        <v>433</v>
      </c>
      <c r="I102" s="1114" t="s">
        <v>4567</v>
      </c>
      <c r="J102" s="1148" t="s">
        <v>2833</v>
      </c>
      <c r="K102" s="1115" t="s">
        <v>4568</v>
      </c>
      <c r="L102" s="1122" t="s">
        <v>4569</v>
      </c>
    </row>
    <row r="103" spans="3:12" ht="15" thickBot="1">
      <c r="C103" s="26">
        <v>221</v>
      </c>
      <c r="D103" s="1123">
        <v>11</v>
      </c>
      <c r="E103" s="1123" t="s">
        <v>1450</v>
      </c>
      <c r="F103" s="1123" t="s">
        <v>94</v>
      </c>
      <c r="G103" s="1123" t="s">
        <v>177</v>
      </c>
      <c r="H103" s="1123" t="s">
        <v>626</v>
      </c>
      <c r="I103" s="1123" t="s">
        <v>4567</v>
      </c>
      <c r="J103" s="1152" t="s">
        <v>2833</v>
      </c>
      <c r="K103" s="1124" t="s">
        <v>3195</v>
      </c>
      <c r="L103" s="1125" t="s">
        <v>1448</v>
      </c>
    </row>
    <row r="104" spans="3:12" ht="14.25">
      <c r="C104" s="24">
        <v>224</v>
      </c>
      <c r="D104" s="1119">
        <v>12</v>
      </c>
      <c r="E104" s="1119" t="s">
        <v>966</v>
      </c>
      <c r="F104" s="1119" t="s">
        <v>3865</v>
      </c>
      <c r="G104" s="1119" t="s">
        <v>177</v>
      </c>
      <c r="H104" s="1119" t="s">
        <v>978</v>
      </c>
      <c r="I104" s="1119" t="s">
        <v>3095</v>
      </c>
      <c r="J104" s="1153" t="s">
        <v>2833</v>
      </c>
      <c r="K104" s="1120" t="s">
        <v>3195</v>
      </c>
      <c r="L104" s="1121" t="s">
        <v>2074</v>
      </c>
    </row>
    <row r="105" spans="3:12" ht="15" thickBot="1">
      <c r="C105" s="26">
        <v>226</v>
      </c>
      <c r="D105" s="1123">
        <v>13</v>
      </c>
      <c r="E105" s="1123" t="s">
        <v>2796</v>
      </c>
      <c r="F105" s="1123" t="s">
        <v>3465</v>
      </c>
      <c r="G105" s="1123" t="s">
        <v>177</v>
      </c>
      <c r="H105" s="1123" t="s">
        <v>3245</v>
      </c>
      <c r="I105" s="1123" t="s">
        <v>3095</v>
      </c>
      <c r="J105" s="1152" t="s">
        <v>2833</v>
      </c>
      <c r="K105" s="1124" t="s">
        <v>3195</v>
      </c>
      <c r="L105" s="1125" t="s">
        <v>3246</v>
      </c>
    </row>
    <row r="106" spans="3:12" ht="14.25">
      <c r="C106" s="24">
        <v>227</v>
      </c>
      <c r="D106" s="1119">
        <v>14</v>
      </c>
      <c r="E106" s="1119" t="s">
        <v>3248</v>
      </c>
      <c r="F106" s="1119" t="s">
        <v>1213</v>
      </c>
      <c r="G106" s="1119" t="s">
        <v>177</v>
      </c>
      <c r="H106" s="1119" t="s">
        <v>1959</v>
      </c>
      <c r="I106" s="1119" t="s">
        <v>1960</v>
      </c>
      <c r="J106" s="1153" t="s">
        <v>2833</v>
      </c>
      <c r="K106" s="1120" t="s">
        <v>3195</v>
      </c>
      <c r="L106" s="1121" t="s">
        <v>3246</v>
      </c>
    </row>
    <row r="107" spans="3:12" ht="15" thickBot="1">
      <c r="C107" s="26">
        <v>229</v>
      </c>
      <c r="D107" s="1123">
        <v>15</v>
      </c>
      <c r="E107" s="1123" t="s">
        <v>2879</v>
      </c>
      <c r="F107" s="1123" t="s">
        <v>1216</v>
      </c>
      <c r="G107" s="1123" t="s">
        <v>177</v>
      </c>
      <c r="H107" s="1123" t="s">
        <v>4978</v>
      </c>
      <c r="I107" s="1123" t="s">
        <v>1960</v>
      </c>
      <c r="J107" s="1152" t="s">
        <v>2833</v>
      </c>
      <c r="K107" s="1124" t="s">
        <v>3195</v>
      </c>
      <c r="L107" s="1125" t="s">
        <v>3246</v>
      </c>
    </row>
    <row r="108" spans="3:12" ht="14.25">
      <c r="C108" s="24">
        <v>230</v>
      </c>
      <c r="D108" s="1119">
        <v>16</v>
      </c>
      <c r="E108" s="1119" t="s">
        <v>2290</v>
      </c>
      <c r="F108" s="1119" t="s">
        <v>1217</v>
      </c>
      <c r="G108" s="1119" t="s">
        <v>177</v>
      </c>
      <c r="H108" s="1119" t="s">
        <v>2292</v>
      </c>
      <c r="I108" s="1119" t="s">
        <v>673</v>
      </c>
      <c r="J108" s="1153" t="s">
        <v>2833</v>
      </c>
      <c r="K108" s="1120" t="s">
        <v>674</v>
      </c>
      <c r="L108" s="1121" t="s">
        <v>675</v>
      </c>
    </row>
    <row r="109" spans="3:12" ht="14.25">
      <c r="C109" s="31">
        <v>231</v>
      </c>
      <c r="D109" s="1114">
        <v>17</v>
      </c>
      <c r="E109" s="1114" t="s">
        <v>4758</v>
      </c>
      <c r="F109" s="1114" t="s">
        <v>2800</v>
      </c>
      <c r="G109" s="1114" t="s">
        <v>177</v>
      </c>
      <c r="H109" s="1114" t="s">
        <v>4760</v>
      </c>
      <c r="I109" s="1114" t="s">
        <v>673</v>
      </c>
      <c r="J109" s="1148" t="s">
        <v>2833</v>
      </c>
      <c r="K109" s="1115" t="s">
        <v>674</v>
      </c>
      <c r="L109" s="1122" t="s">
        <v>675</v>
      </c>
    </row>
    <row r="110" spans="3:12" ht="14.25">
      <c r="C110" s="31">
        <v>232</v>
      </c>
      <c r="D110" s="1114">
        <v>18</v>
      </c>
      <c r="E110" s="1114" t="s">
        <v>3093</v>
      </c>
      <c r="F110" s="1114" t="s">
        <v>1594</v>
      </c>
      <c r="G110" s="1114" t="s">
        <v>177</v>
      </c>
      <c r="H110" s="1114" t="s">
        <v>1802</v>
      </c>
      <c r="I110" s="1114" t="s">
        <v>673</v>
      </c>
      <c r="J110" s="1148" t="s">
        <v>2833</v>
      </c>
      <c r="K110" s="1115" t="s">
        <v>674</v>
      </c>
      <c r="L110" s="1122" t="s">
        <v>675</v>
      </c>
    </row>
    <row r="111" spans="3:12" ht="15" thickBot="1">
      <c r="C111" s="26">
        <v>233</v>
      </c>
      <c r="D111" s="1123">
        <v>19</v>
      </c>
      <c r="E111" s="1123" t="s">
        <v>1804</v>
      </c>
      <c r="F111" s="1123" t="s">
        <v>2799</v>
      </c>
      <c r="G111" s="1123" t="s">
        <v>177</v>
      </c>
      <c r="H111" s="1123" t="s">
        <v>3775</v>
      </c>
      <c r="I111" s="1123" t="s">
        <v>673</v>
      </c>
      <c r="J111" s="1152" t="s">
        <v>2833</v>
      </c>
      <c r="K111" s="1124" t="s">
        <v>674</v>
      </c>
      <c r="L111" s="1125" t="s">
        <v>675</v>
      </c>
    </row>
    <row r="112" spans="3:12" ht="15" thickBot="1">
      <c r="C112" s="1126">
        <v>234</v>
      </c>
      <c r="D112" s="1127">
        <v>20</v>
      </c>
      <c r="E112" s="1127" t="s">
        <v>4029</v>
      </c>
      <c r="F112" s="1127" t="s">
        <v>4855</v>
      </c>
      <c r="G112" s="1127" t="s">
        <v>177</v>
      </c>
      <c r="H112" s="1127" t="s">
        <v>4031</v>
      </c>
      <c r="I112" s="1127" t="s">
        <v>581</v>
      </c>
      <c r="J112" s="1154" t="s">
        <v>2833</v>
      </c>
      <c r="K112" s="1128" t="s">
        <v>3195</v>
      </c>
      <c r="L112" s="1129" t="s">
        <v>3246</v>
      </c>
    </row>
    <row r="115" spans="3:12">
      <c r="D115" s="1055" t="s">
        <v>4403</v>
      </c>
      <c r="E115" s="131"/>
      <c r="F115" s="1052"/>
      <c r="G115" s="131"/>
      <c r="H115" s="131"/>
      <c r="I115" s="131"/>
      <c r="J115" s="131"/>
      <c r="K115" s="131"/>
      <c r="L115" s="131"/>
    </row>
    <row r="116" spans="3:12">
      <c r="D116" s="1050" t="s">
        <v>1108</v>
      </c>
      <c r="E116" s="131"/>
      <c r="F116" s="131"/>
      <c r="G116" s="1078" t="s">
        <v>1532</v>
      </c>
      <c r="H116" s="1079"/>
      <c r="I116" s="1079"/>
      <c r="J116" s="1079"/>
      <c r="K116" s="1079"/>
      <c r="L116" s="131"/>
    </row>
    <row r="117" spans="3:12">
      <c r="D117" s="1050" t="s">
        <v>4493</v>
      </c>
      <c r="E117" s="131"/>
      <c r="F117" s="131"/>
      <c r="G117" s="1051" t="s">
        <v>4263</v>
      </c>
      <c r="H117" s="131"/>
      <c r="I117" s="131"/>
      <c r="J117" s="131"/>
      <c r="K117" s="131"/>
      <c r="L117" s="131"/>
    </row>
    <row r="118" spans="3:12">
      <c r="D118" s="1050" t="s">
        <v>1677</v>
      </c>
      <c r="E118" s="131"/>
      <c r="F118" s="131"/>
      <c r="G118" s="1051" t="s">
        <v>4264</v>
      </c>
      <c r="H118" s="131"/>
      <c r="I118" s="131"/>
      <c r="J118" s="131"/>
      <c r="K118" s="131"/>
      <c r="L118" s="131"/>
    </row>
    <row r="119" spans="3:12" ht="13.5" thickBot="1">
      <c r="C119" s="1116" t="s">
        <v>1835</v>
      </c>
      <c r="D119" s="1117" t="s">
        <v>1098</v>
      </c>
      <c r="E119" s="1117" t="s">
        <v>3591</v>
      </c>
      <c r="F119" s="1117" t="s">
        <v>2757</v>
      </c>
      <c r="G119" s="1117" t="s">
        <v>5004</v>
      </c>
      <c r="H119" s="1117" t="s">
        <v>4319</v>
      </c>
      <c r="I119" s="1117" t="s">
        <v>4320</v>
      </c>
      <c r="J119" s="1117" t="s">
        <v>4321</v>
      </c>
      <c r="K119" s="1118" t="s">
        <v>1520</v>
      </c>
      <c r="L119" s="1118" t="s">
        <v>4070</v>
      </c>
    </row>
    <row r="120" spans="3:12" ht="14.25">
      <c r="C120" s="24">
        <v>224</v>
      </c>
      <c r="D120" s="1119">
        <v>1</v>
      </c>
      <c r="E120" s="1119" t="s">
        <v>966</v>
      </c>
      <c r="F120" s="1119" t="s">
        <v>3865</v>
      </c>
      <c r="G120" s="1119" t="s">
        <v>177</v>
      </c>
      <c r="H120" s="1119" t="s">
        <v>978</v>
      </c>
      <c r="I120" s="1119" t="s">
        <v>3095</v>
      </c>
      <c r="J120" s="1153" t="s">
        <v>2833</v>
      </c>
      <c r="K120" s="1120" t="s">
        <v>3195</v>
      </c>
      <c r="L120" s="1121" t="s">
        <v>2074</v>
      </c>
    </row>
    <row r="121" spans="3:12" ht="14.25">
      <c r="C121" s="31">
        <v>226</v>
      </c>
      <c r="D121" s="1114">
        <v>2</v>
      </c>
      <c r="E121" s="1114" t="s">
        <v>2796</v>
      </c>
      <c r="F121" s="1114" t="s">
        <v>3465</v>
      </c>
      <c r="G121" s="1114" t="s">
        <v>177</v>
      </c>
      <c r="H121" s="1114" t="s">
        <v>3245</v>
      </c>
      <c r="I121" s="1114" t="s">
        <v>3095</v>
      </c>
      <c r="J121" s="1148" t="s">
        <v>2833</v>
      </c>
      <c r="K121" s="1115" t="s">
        <v>3195</v>
      </c>
      <c r="L121" s="1122" t="s">
        <v>3246</v>
      </c>
    </row>
    <row r="122" spans="3:12" ht="15" thickBot="1">
      <c r="C122" s="1155">
        <v>229</v>
      </c>
      <c r="D122" s="1156">
        <v>3</v>
      </c>
      <c r="E122" s="1156" t="s">
        <v>2879</v>
      </c>
      <c r="F122" s="1156" t="s">
        <v>1216</v>
      </c>
      <c r="G122" s="1156" t="s">
        <v>177</v>
      </c>
      <c r="H122" s="1156" t="s">
        <v>4978</v>
      </c>
      <c r="I122" s="1156" t="s">
        <v>1960</v>
      </c>
      <c r="J122" s="1157" t="s">
        <v>2833</v>
      </c>
      <c r="K122" s="1158" t="s">
        <v>3195</v>
      </c>
      <c r="L122" s="1159" t="s">
        <v>3246</v>
      </c>
    </row>
    <row r="126" spans="3:12">
      <c r="D126" t="s">
        <v>453</v>
      </c>
      <c r="J126" s="80"/>
      <c r="K126" s="80"/>
    </row>
    <row r="127" spans="3:12" ht="13.5" thickBot="1">
      <c r="D127" s="1116" t="s">
        <v>1835</v>
      </c>
      <c r="E127" s="1117" t="s">
        <v>3591</v>
      </c>
      <c r="F127" s="1117" t="s">
        <v>3694</v>
      </c>
      <c r="I127" s="1116" t="s">
        <v>1835</v>
      </c>
      <c r="J127" s="3911" t="s">
        <v>3591</v>
      </c>
      <c r="K127" s="3912"/>
      <c r="L127" s="1117" t="s">
        <v>3694</v>
      </c>
    </row>
    <row r="128" spans="3:12">
      <c r="D128" s="1160">
        <v>224</v>
      </c>
      <c r="E128" s="1161" t="s">
        <v>4255</v>
      </c>
      <c r="F128" s="1162" t="s">
        <v>4006</v>
      </c>
      <c r="G128" s="3914" t="s">
        <v>4326</v>
      </c>
      <c r="H128" s="3915"/>
      <c r="I128" s="24">
        <v>222</v>
      </c>
      <c r="J128" s="3916" t="s">
        <v>2636</v>
      </c>
      <c r="K128" s="3916"/>
      <c r="L128" s="1166" t="s">
        <v>1427</v>
      </c>
    </row>
    <row r="129" spans="4:12" ht="13.5" thickBot="1">
      <c r="D129" s="1163">
        <v>229</v>
      </c>
      <c r="E129" s="1164" t="s">
        <v>498</v>
      </c>
      <c r="F129" s="1165" t="s">
        <v>4006</v>
      </c>
      <c r="G129" s="3914" t="s">
        <v>4326</v>
      </c>
      <c r="H129" s="3915"/>
      <c r="I129" s="26">
        <v>210</v>
      </c>
      <c r="J129" s="3913" t="s">
        <v>3007</v>
      </c>
      <c r="K129" s="3913"/>
      <c r="L129" s="43" t="s">
        <v>4006</v>
      </c>
    </row>
  </sheetData>
  <mergeCells count="14">
    <mergeCell ref="J127:K127"/>
    <mergeCell ref="N15:N16"/>
    <mergeCell ref="J129:K129"/>
    <mergeCell ref="G128:H128"/>
    <mergeCell ref="G129:H129"/>
    <mergeCell ref="J128:K128"/>
    <mergeCell ref="S6:T7"/>
    <mergeCell ref="M15:M16"/>
    <mergeCell ref="M50:N51"/>
    <mergeCell ref="M52:N53"/>
    <mergeCell ref="M17:N18"/>
    <mergeCell ref="M19:N20"/>
    <mergeCell ref="N48:N49"/>
    <mergeCell ref="M48:M49"/>
  </mergeCells>
  <phoneticPr fontId="0" type="noConversion"/>
  <printOptions horizontalCentered="1"/>
  <pageMargins left="0.75" right="0.75" top="1" bottom="1" header="0" footer="0"/>
  <pageSetup scale="150" orientation="portrait" horizontalDpi="120" verticalDpi="144"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sheetPr codeName="Hoja13"/>
  <dimension ref="B3:AG69"/>
  <sheetViews>
    <sheetView workbookViewId="0">
      <selection activeCell="F8" sqref="F8"/>
    </sheetView>
  </sheetViews>
  <sheetFormatPr baseColWidth="10" defaultRowHeight="18"/>
  <cols>
    <col min="1" max="2" width="3.7109375" customWidth="1"/>
    <col min="3" max="3" width="20.85546875" style="8" bestFit="1" customWidth="1"/>
    <col min="4" max="4" width="5.7109375" style="93" customWidth="1"/>
    <col min="5" max="5" width="3.7109375" style="93" customWidth="1"/>
    <col min="6" max="6" width="20.85546875" style="8" customWidth="1"/>
    <col min="7" max="7" width="11.42578125" style="17"/>
    <col min="8" max="8" width="25.7109375" customWidth="1"/>
    <col min="9" max="9" width="1.7109375" customWidth="1"/>
    <col min="10" max="10" width="3.7109375" style="93" customWidth="1"/>
    <col min="11" max="11" width="20.85546875" style="8" customWidth="1"/>
    <col min="12" max="12" width="11.42578125" style="17"/>
    <col min="13" max="13" width="25.7109375" customWidth="1"/>
    <col min="14" max="16" width="3.7109375" customWidth="1"/>
    <col min="17" max="17" width="14.85546875" style="8" bestFit="1" customWidth="1"/>
    <col min="18" max="18" width="35.7109375" customWidth="1"/>
    <col min="20" max="20" width="25.7109375" customWidth="1"/>
    <col min="22" max="22" width="3.7109375" customWidth="1"/>
    <col min="23" max="23" width="3.7109375" style="8" customWidth="1"/>
    <col min="24" max="24" width="11.42578125" style="1319"/>
    <col min="25" max="25" width="17.42578125" style="8" customWidth="1"/>
    <col min="26" max="26" width="19.7109375" customWidth="1"/>
    <col min="27" max="27" width="15" style="8" customWidth="1"/>
    <col min="30" max="30" width="14.85546875" bestFit="1" customWidth="1"/>
  </cols>
  <sheetData>
    <row r="3" spans="2:33" ht="18.75" thickBot="1"/>
    <row r="4" spans="2:33" ht="18.75" thickBot="1">
      <c r="C4" s="2205" t="s">
        <v>2225</v>
      </c>
      <c r="D4" s="2412"/>
      <c r="E4" s="2412"/>
      <c r="F4" s="2205"/>
      <c r="G4" s="2419"/>
      <c r="H4" s="2205"/>
      <c r="J4" s="2412"/>
      <c r="K4" s="2205"/>
      <c r="L4" s="2419"/>
      <c r="M4" s="2205"/>
      <c r="P4" s="3917" t="s">
        <v>2225</v>
      </c>
      <c r="Q4" s="3917"/>
      <c r="R4" s="3917"/>
      <c r="S4" s="3917"/>
      <c r="T4" s="3917"/>
      <c r="U4" s="2186"/>
      <c r="W4" s="1336"/>
      <c r="X4" s="1323" t="s">
        <v>4197</v>
      </c>
      <c r="Y4" s="1326" t="s">
        <v>4198</v>
      </c>
      <c r="Z4" s="1322" t="s">
        <v>4199</v>
      </c>
      <c r="AA4" s="1331" t="s">
        <v>3430</v>
      </c>
      <c r="AC4" s="2186"/>
    </row>
    <row r="5" spans="2:33" ht="18.75" thickBot="1">
      <c r="B5" s="98"/>
      <c r="C5" s="2186"/>
      <c r="D5" s="2413"/>
      <c r="E5" s="2413"/>
      <c r="F5" s="2186"/>
      <c r="G5" s="2420"/>
      <c r="H5" s="2187"/>
      <c r="J5" s="2413"/>
      <c r="K5" s="2186"/>
      <c r="L5" s="2420"/>
      <c r="M5" s="2434">
        <v>42626</v>
      </c>
      <c r="P5" s="98"/>
      <c r="Q5" s="2186"/>
      <c r="R5" s="2187"/>
      <c r="S5" s="2187"/>
      <c r="T5" s="2187"/>
      <c r="U5" s="2187"/>
      <c r="W5" s="1337">
        <v>1</v>
      </c>
      <c r="X5" s="1324" t="s">
        <v>2580</v>
      </c>
      <c r="Y5" s="1327">
        <v>8139995</v>
      </c>
      <c r="Z5" s="230" t="s">
        <v>2574</v>
      </c>
      <c r="AA5" s="1332" t="s">
        <v>871</v>
      </c>
      <c r="AB5" t="s">
        <v>3771</v>
      </c>
      <c r="AC5" s="98"/>
      <c r="AD5" s="98"/>
      <c r="AE5" s="98"/>
      <c r="AF5" s="98"/>
      <c r="AG5" s="98"/>
    </row>
    <row r="6" spans="2:33" ht="17.25" thickBot="1">
      <c r="B6" s="2188"/>
      <c r="C6" s="2408" t="s">
        <v>2226</v>
      </c>
      <c r="D6" s="2414"/>
      <c r="E6" s="2414"/>
      <c r="F6" s="2426" t="s">
        <v>2226</v>
      </c>
      <c r="G6" s="2433" t="s">
        <v>91</v>
      </c>
      <c r="H6" s="2427" t="s">
        <v>1008</v>
      </c>
      <c r="J6" s="2414"/>
      <c r="K6" s="2426" t="s">
        <v>2226</v>
      </c>
      <c r="L6" s="2433" t="s">
        <v>91</v>
      </c>
      <c r="M6" s="2427" t="s">
        <v>1008</v>
      </c>
      <c r="P6" s="2188"/>
      <c r="Q6" s="2189" t="s">
        <v>2226</v>
      </c>
      <c r="R6" s="2189" t="s">
        <v>2227</v>
      </c>
      <c r="S6" s="2189" t="s">
        <v>3349</v>
      </c>
      <c r="T6" s="2190" t="s">
        <v>1008</v>
      </c>
      <c r="U6" s="2191"/>
      <c r="W6" s="37">
        <v>2</v>
      </c>
      <c r="X6" s="1321" t="s">
        <v>2581</v>
      </c>
      <c r="Y6" s="1328">
        <v>8139990</v>
      </c>
      <c r="Z6" s="75" t="s">
        <v>1196</v>
      </c>
      <c r="AA6" s="1333" t="s">
        <v>871</v>
      </c>
      <c r="AB6" t="s">
        <v>3771</v>
      </c>
      <c r="AC6" s="98"/>
      <c r="AD6" s="2205" t="s">
        <v>3979</v>
      </c>
      <c r="AE6" s="2206" t="s">
        <v>2493</v>
      </c>
      <c r="AF6" s="2186"/>
      <c r="AG6" s="2186"/>
    </row>
    <row r="7" spans="2:33">
      <c r="B7" s="2188"/>
      <c r="C7" s="2409" t="s">
        <v>3314</v>
      </c>
      <c r="D7" s="2415"/>
      <c r="E7" s="2428">
        <v>1</v>
      </c>
      <c r="F7" s="2406">
        <v>998139990</v>
      </c>
      <c r="G7" s="2425"/>
      <c r="H7" s="2435" t="s">
        <v>1196</v>
      </c>
      <c r="J7" s="2428">
        <v>23</v>
      </c>
      <c r="K7" s="2407">
        <v>971626433</v>
      </c>
      <c r="L7" s="2423">
        <v>17</v>
      </c>
      <c r="M7" s="2441" t="s">
        <v>3319</v>
      </c>
      <c r="P7" s="2188"/>
      <c r="Q7" s="2324" t="s">
        <v>2196</v>
      </c>
      <c r="R7" s="2197" t="s">
        <v>3351</v>
      </c>
      <c r="S7" s="197"/>
      <c r="T7" s="2198" t="s">
        <v>1196</v>
      </c>
      <c r="U7" s="2191"/>
      <c r="W7" s="37"/>
      <c r="X7" s="1321"/>
      <c r="Y7" s="1328"/>
      <c r="Z7" s="75"/>
      <c r="AA7" s="1333"/>
      <c r="AC7" s="98"/>
      <c r="AD7" s="2205"/>
      <c r="AE7" s="2206"/>
      <c r="AF7" s="2186"/>
      <c r="AG7" s="2186"/>
    </row>
    <row r="8" spans="2:33">
      <c r="B8" s="98"/>
      <c r="C8" s="2410" t="s">
        <v>3350</v>
      </c>
      <c r="D8" s="2416"/>
      <c r="E8" s="2428">
        <v>2</v>
      </c>
      <c r="F8" s="2407">
        <v>942495140</v>
      </c>
      <c r="G8" s="194"/>
      <c r="H8" s="2436" t="s">
        <v>3352</v>
      </c>
      <c r="J8" s="2428">
        <v>24</v>
      </c>
      <c r="K8" s="2407">
        <v>971613267</v>
      </c>
      <c r="L8" s="2423">
        <v>18</v>
      </c>
      <c r="M8" s="2441" t="s">
        <v>3320</v>
      </c>
      <c r="P8" s="98">
        <v>1</v>
      </c>
      <c r="Q8" s="197" t="s">
        <v>3350</v>
      </c>
      <c r="R8" s="2197" t="s">
        <v>3351</v>
      </c>
      <c r="S8" s="197">
        <v>100</v>
      </c>
      <c r="T8" s="2198" t="s">
        <v>3352</v>
      </c>
      <c r="U8" s="2191"/>
      <c r="W8" s="37">
        <v>3</v>
      </c>
      <c r="X8" s="1320" t="s">
        <v>1696</v>
      </c>
      <c r="Y8" s="1671">
        <v>8139991</v>
      </c>
      <c r="Z8" s="140" t="s">
        <v>1197</v>
      </c>
      <c r="AA8" s="1334" t="s">
        <v>1977</v>
      </c>
      <c r="AB8" t="s">
        <v>3771</v>
      </c>
    </row>
    <row r="9" spans="2:33">
      <c r="B9" s="98"/>
      <c r="C9" s="2410" t="s">
        <v>3356</v>
      </c>
      <c r="D9" s="2416"/>
      <c r="E9" s="2428">
        <v>3</v>
      </c>
      <c r="F9" s="2407">
        <v>942495119</v>
      </c>
      <c r="G9" s="194"/>
      <c r="H9" s="2436" t="s">
        <v>3357</v>
      </c>
      <c r="J9" s="2428">
        <v>25</v>
      </c>
      <c r="K9" s="2407">
        <v>971608151</v>
      </c>
      <c r="L9" s="2423">
        <v>19</v>
      </c>
      <c r="M9" s="2441" t="s">
        <v>3321</v>
      </c>
      <c r="P9" s="98">
        <f t="shared" ref="P9:P28" si="0">+P8+1</f>
        <v>2</v>
      </c>
      <c r="Q9" s="197" t="s">
        <v>3356</v>
      </c>
      <c r="R9" s="2197" t="s">
        <v>3351</v>
      </c>
      <c r="S9" s="197">
        <v>100</v>
      </c>
      <c r="T9" s="2198" t="s">
        <v>3357</v>
      </c>
      <c r="U9" s="2191"/>
      <c r="W9" s="37">
        <v>4</v>
      </c>
      <c r="X9" s="1321" t="s">
        <v>1697</v>
      </c>
      <c r="Y9" s="1672">
        <v>8131865</v>
      </c>
      <c r="Z9" s="75" t="s">
        <v>1198</v>
      </c>
      <c r="AA9" s="1333" t="s">
        <v>1977</v>
      </c>
      <c r="AB9" t="s">
        <v>3771</v>
      </c>
    </row>
    <row r="10" spans="2:33">
      <c r="B10" s="98"/>
      <c r="C10" s="2410" t="s">
        <v>3315</v>
      </c>
      <c r="D10" s="2416"/>
      <c r="E10" s="2428">
        <v>4</v>
      </c>
      <c r="F10" s="2407">
        <v>942494982</v>
      </c>
      <c r="G10" s="2421"/>
      <c r="H10" s="2436" t="s">
        <v>3360</v>
      </c>
      <c r="J10" s="2428">
        <v>26</v>
      </c>
      <c r="K10" s="2971">
        <v>971554723</v>
      </c>
      <c r="L10" s="2969">
        <v>20</v>
      </c>
      <c r="M10" s="2970" t="s">
        <v>3323</v>
      </c>
      <c r="P10" s="98">
        <f t="shared" si="0"/>
        <v>3</v>
      </c>
      <c r="Q10" s="2325" t="s">
        <v>1036</v>
      </c>
      <c r="R10" s="2194" t="s">
        <v>3351</v>
      </c>
      <c r="S10" s="2192">
        <v>100</v>
      </c>
      <c r="T10" s="2193" t="s">
        <v>3360</v>
      </c>
      <c r="U10" s="2191"/>
      <c r="W10" s="37">
        <v>5</v>
      </c>
      <c r="X10" s="1320" t="s">
        <v>1698</v>
      </c>
      <c r="Y10" s="1671">
        <v>8139992</v>
      </c>
      <c r="Z10" s="140" t="s">
        <v>2120</v>
      </c>
      <c r="AA10" s="1334" t="s">
        <v>2447</v>
      </c>
      <c r="AB10" t="s">
        <v>3771</v>
      </c>
    </row>
    <row r="11" spans="2:33">
      <c r="B11" s="98"/>
      <c r="C11" s="2410" t="s">
        <v>3363</v>
      </c>
      <c r="D11" s="2416"/>
      <c r="E11" s="2428">
        <v>5</v>
      </c>
      <c r="F11" s="2407">
        <v>942487533</v>
      </c>
      <c r="G11" s="194"/>
      <c r="H11" s="2436" t="s">
        <v>3364</v>
      </c>
      <c r="J11" s="2428">
        <v>27</v>
      </c>
      <c r="K11" s="2407">
        <v>971549745</v>
      </c>
      <c r="L11" s="2423">
        <v>21</v>
      </c>
      <c r="M11" s="2440" t="s">
        <v>3324</v>
      </c>
      <c r="P11" s="98">
        <f t="shared" si="0"/>
        <v>4</v>
      </c>
      <c r="Q11" s="197" t="s">
        <v>3363</v>
      </c>
      <c r="R11" s="2197" t="s">
        <v>3351</v>
      </c>
      <c r="S11" s="197">
        <v>0</v>
      </c>
      <c r="T11" s="2198" t="s">
        <v>3364</v>
      </c>
      <c r="U11" s="2191"/>
      <c r="W11" s="37">
        <v>6</v>
      </c>
      <c r="X11" s="1321" t="s">
        <v>1699</v>
      </c>
      <c r="Y11" s="1672">
        <v>8139910</v>
      </c>
      <c r="Z11" s="75" t="s">
        <v>3825</v>
      </c>
      <c r="AA11" s="1333" t="s">
        <v>2447</v>
      </c>
      <c r="AB11" t="s">
        <v>3771</v>
      </c>
    </row>
    <row r="12" spans="2:33" ht="18.75" thickBot="1">
      <c r="B12" s="98"/>
      <c r="C12" s="2410" t="s">
        <v>3367</v>
      </c>
      <c r="D12" s="2416"/>
      <c r="E12" s="2428">
        <v>6</v>
      </c>
      <c r="F12" s="2418">
        <v>942447552</v>
      </c>
      <c r="G12" s="2422"/>
      <c r="H12" s="2437" t="s">
        <v>3322</v>
      </c>
      <c r="J12" s="2428">
        <v>28</v>
      </c>
      <c r="K12" s="2407">
        <v>971543818</v>
      </c>
      <c r="L12" s="2423">
        <v>22</v>
      </c>
      <c r="M12" s="2440" t="s">
        <v>4175</v>
      </c>
      <c r="P12" s="98">
        <f t="shared" si="0"/>
        <v>5</v>
      </c>
      <c r="Q12" s="2192" t="s">
        <v>3367</v>
      </c>
      <c r="R12" s="2194" t="s">
        <v>3354</v>
      </c>
      <c r="S12" s="2192">
        <v>100</v>
      </c>
      <c r="T12" s="2193" t="s">
        <v>3368</v>
      </c>
      <c r="U12" s="2191"/>
      <c r="W12" s="37">
        <v>7</v>
      </c>
      <c r="X12" s="1321" t="s">
        <v>1700</v>
      </c>
      <c r="Y12" s="1672">
        <v>8139911</v>
      </c>
      <c r="Z12" s="75" t="s">
        <v>3826</v>
      </c>
      <c r="AA12" s="1333" t="s">
        <v>2447</v>
      </c>
      <c r="AB12" t="s">
        <v>3771</v>
      </c>
    </row>
    <row r="13" spans="2:33" ht="18.75" thickTop="1">
      <c r="B13" s="98">
        <f t="shared" ref="B13:B28" si="1">+B12+1</f>
        <v>1</v>
      </c>
      <c r="C13" s="2410" t="s">
        <v>2221</v>
      </c>
      <c r="D13" s="2416"/>
      <c r="E13" s="2428">
        <v>7</v>
      </c>
      <c r="F13" s="2406">
        <v>942427348</v>
      </c>
      <c r="G13" s="2423">
        <v>1</v>
      </c>
      <c r="H13" s="2438" t="s">
        <v>3316</v>
      </c>
      <c r="J13" s="2428">
        <v>29</v>
      </c>
      <c r="K13" s="2407">
        <v>971569062</v>
      </c>
      <c r="L13" s="2423">
        <v>23</v>
      </c>
      <c r="M13" s="2440" t="s">
        <v>3461</v>
      </c>
      <c r="P13" s="98">
        <f t="shared" si="0"/>
        <v>6</v>
      </c>
      <c r="Q13" s="2192" t="s">
        <v>2221</v>
      </c>
      <c r="R13" s="2194" t="s">
        <v>3354</v>
      </c>
      <c r="S13" s="2192">
        <v>0</v>
      </c>
      <c r="T13" s="2193" t="s">
        <v>2222</v>
      </c>
      <c r="U13" s="2191"/>
      <c r="W13" s="37">
        <v>8</v>
      </c>
      <c r="X13" s="1321" t="s">
        <v>1701</v>
      </c>
      <c r="Y13" s="1328">
        <v>8139902</v>
      </c>
      <c r="Z13" s="75" t="s">
        <v>4704</v>
      </c>
      <c r="AA13" s="1333" t="s">
        <v>871</v>
      </c>
      <c r="AB13" t="s">
        <v>2487</v>
      </c>
    </row>
    <row r="14" spans="2:33">
      <c r="B14" s="98">
        <f t="shared" si="1"/>
        <v>2</v>
      </c>
      <c r="C14" s="2410" t="s">
        <v>4659</v>
      </c>
      <c r="D14" s="2416"/>
      <c r="E14" s="2428">
        <v>8</v>
      </c>
      <c r="F14" s="2407">
        <v>942419236</v>
      </c>
      <c r="G14" s="2423">
        <v>2</v>
      </c>
      <c r="H14" s="2439" t="s">
        <v>1718</v>
      </c>
      <c r="J14" s="2428">
        <v>30</v>
      </c>
      <c r="K14" s="2407">
        <v>971570428</v>
      </c>
      <c r="L14" s="2423">
        <v>24</v>
      </c>
      <c r="M14" s="2440" t="s">
        <v>3325</v>
      </c>
      <c r="P14" s="98">
        <f t="shared" si="0"/>
        <v>7</v>
      </c>
      <c r="Q14" s="2192" t="s">
        <v>4659</v>
      </c>
      <c r="R14" s="2194" t="s">
        <v>3354</v>
      </c>
      <c r="S14" s="2192">
        <v>0</v>
      </c>
      <c r="T14" s="2193" t="s">
        <v>4660</v>
      </c>
      <c r="U14" s="2191"/>
      <c r="W14" s="37">
        <v>9</v>
      </c>
      <c r="X14" s="1778" t="s">
        <v>201</v>
      </c>
      <c r="Y14" s="1779">
        <v>8139643</v>
      </c>
      <c r="Z14" s="1780" t="s">
        <v>4863</v>
      </c>
      <c r="AA14" s="1781" t="s">
        <v>2447</v>
      </c>
      <c r="AB14" t="s">
        <v>3771</v>
      </c>
    </row>
    <row r="15" spans="2:33">
      <c r="B15" s="98">
        <f t="shared" si="1"/>
        <v>3</v>
      </c>
      <c r="C15" s="2410" t="s">
        <v>4663</v>
      </c>
      <c r="D15" s="2416"/>
      <c r="E15" s="2428">
        <v>9</v>
      </c>
      <c r="F15" s="2407">
        <v>942418194</v>
      </c>
      <c r="G15" s="2423">
        <v>3</v>
      </c>
      <c r="H15" s="2440" t="s">
        <v>448</v>
      </c>
      <c r="J15" s="2428">
        <v>31</v>
      </c>
      <c r="K15" s="2407">
        <v>971569623</v>
      </c>
      <c r="L15" s="2423">
        <v>25</v>
      </c>
      <c r="M15" s="2440" t="s">
        <v>3326</v>
      </c>
      <c r="P15" s="98">
        <f t="shared" si="0"/>
        <v>8</v>
      </c>
      <c r="Q15" s="2192" t="s">
        <v>4663</v>
      </c>
      <c r="R15" s="2194" t="s">
        <v>3354</v>
      </c>
      <c r="S15" s="2192">
        <v>0</v>
      </c>
      <c r="T15" s="2193" t="s">
        <v>448</v>
      </c>
      <c r="U15" s="2191"/>
      <c r="W15" s="37">
        <v>10</v>
      </c>
      <c r="X15" s="1776" t="s">
        <v>2192</v>
      </c>
      <c r="Y15" s="1672">
        <v>8138276</v>
      </c>
      <c r="Z15" s="75" t="s">
        <v>4010</v>
      </c>
      <c r="AA15" s="1333" t="s">
        <v>2447</v>
      </c>
      <c r="AB15" t="s">
        <v>3771</v>
      </c>
    </row>
    <row r="16" spans="2:33">
      <c r="B16" s="98">
        <f t="shared" si="1"/>
        <v>4</v>
      </c>
      <c r="C16" s="2410" t="s">
        <v>4666</v>
      </c>
      <c r="D16" s="2416"/>
      <c r="E16" s="2428">
        <v>10</v>
      </c>
      <c r="F16" s="2407">
        <v>942180176</v>
      </c>
      <c r="G16" s="2423">
        <v>4</v>
      </c>
      <c r="H16" s="2439" t="s">
        <v>2670</v>
      </c>
      <c r="J16" s="2428">
        <v>32</v>
      </c>
      <c r="K16" s="2407">
        <v>971568488</v>
      </c>
      <c r="L16" s="2423">
        <v>26</v>
      </c>
      <c r="M16" s="2440" t="s">
        <v>3327</v>
      </c>
      <c r="P16" s="98">
        <f t="shared" si="0"/>
        <v>9</v>
      </c>
      <c r="Q16" s="197" t="s">
        <v>4666</v>
      </c>
      <c r="R16" s="2197" t="s">
        <v>3354</v>
      </c>
      <c r="S16" s="197">
        <v>0</v>
      </c>
      <c r="T16" s="2198" t="s">
        <v>2670</v>
      </c>
      <c r="U16" s="2191"/>
      <c r="W16" s="37">
        <v>11</v>
      </c>
      <c r="X16" s="1776" t="s">
        <v>4931</v>
      </c>
      <c r="Y16" s="1672">
        <v>8139987</v>
      </c>
      <c r="Z16" s="75" t="s">
        <v>2447</v>
      </c>
      <c r="AA16" s="1333" t="s">
        <v>2447</v>
      </c>
      <c r="AB16" t="s">
        <v>2487</v>
      </c>
    </row>
    <row r="17" spans="2:33">
      <c r="B17" s="98">
        <f t="shared" si="1"/>
        <v>5</v>
      </c>
      <c r="C17" s="2410" t="s">
        <v>2673</v>
      </c>
      <c r="D17" s="2416"/>
      <c r="E17" s="2428">
        <v>11</v>
      </c>
      <c r="F17" s="2407">
        <v>942156205</v>
      </c>
      <c r="G17" s="2423">
        <v>5</v>
      </c>
      <c r="H17" s="2440" t="s">
        <v>3317</v>
      </c>
      <c r="J17" s="2428">
        <v>33</v>
      </c>
      <c r="K17" s="2407">
        <v>971567652</v>
      </c>
      <c r="L17" s="2423">
        <v>27</v>
      </c>
      <c r="M17" s="2440" t="s">
        <v>2676</v>
      </c>
      <c r="P17" s="98">
        <f t="shared" si="0"/>
        <v>10</v>
      </c>
      <c r="Q17" s="2192" t="s">
        <v>2673</v>
      </c>
      <c r="R17" s="2194" t="s">
        <v>3354</v>
      </c>
      <c r="S17" s="2192">
        <v>0</v>
      </c>
      <c r="T17" s="2193" t="s">
        <v>2674</v>
      </c>
      <c r="U17" s="2191"/>
      <c r="W17" s="37">
        <v>12</v>
      </c>
      <c r="X17" s="1776" t="s">
        <v>1311</v>
      </c>
      <c r="Y17" s="1672">
        <v>8139988</v>
      </c>
      <c r="Z17" s="75" t="s">
        <v>3772</v>
      </c>
      <c r="AA17" s="1333" t="s">
        <v>2447</v>
      </c>
      <c r="AB17" t="s">
        <v>3771</v>
      </c>
    </row>
    <row r="18" spans="2:33">
      <c r="B18" s="98">
        <f t="shared" si="1"/>
        <v>6</v>
      </c>
      <c r="C18" s="2410" t="s">
        <v>2677</v>
      </c>
      <c r="D18" s="2416"/>
      <c r="E18" s="2428">
        <v>12</v>
      </c>
      <c r="F18" s="2407">
        <v>942152819</v>
      </c>
      <c r="G18" s="2423">
        <v>6</v>
      </c>
      <c r="H18" s="2439" t="s">
        <v>1714</v>
      </c>
      <c r="J18" s="2428">
        <v>34</v>
      </c>
      <c r="K18" s="2407">
        <v>971565321</v>
      </c>
      <c r="L18" s="2423">
        <v>28</v>
      </c>
      <c r="M18" s="2440" t="s">
        <v>3328</v>
      </c>
      <c r="P18" s="98">
        <f t="shared" si="0"/>
        <v>11</v>
      </c>
      <c r="Q18" s="2192" t="s">
        <v>2677</v>
      </c>
      <c r="R18" s="2194" t="s">
        <v>3354</v>
      </c>
      <c r="S18" s="2192">
        <v>0</v>
      </c>
      <c r="T18" s="2193" t="s">
        <v>1714</v>
      </c>
      <c r="U18" s="2191"/>
      <c r="W18" s="37">
        <v>13</v>
      </c>
      <c r="X18" s="1776" t="s">
        <v>2741</v>
      </c>
      <c r="Y18" s="1672">
        <v>8139903</v>
      </c>
      <c r="Z18" s="75" t="s">
        <v>780</v>
      </c>
      <c r="AA18" s="1333" t="s">
        <v>2447</v>
      </c>
      <c r="AB18" t="s">
        <v>3771</v>
      </c>
    </row>
    <row r="19" spans="2:33">
      <c r="B19" s="98">
        <f t="shared" si="1"/>
        <v>7</v>
      </c>
      <c r="C19" s="2410" t="s">
        <v>1717</v>
      </c>
      <c r="D19" s="2416"/>
      <c r="E19" s="2428">
        <v>13</v>
      </c>
      <c r="F19" s="2407">
        <v>942119826</v>
      </c>
      <c r="G19" s="2423">
        <v>7</v>
      </c>
      <c r="H19" s="2440" t="s">
        <v>3318</v>
      </c>
      <c r="J19" s="2428">
        <v>35</v>
      </c>
      <c r="K19" s="2407">
        <v>971564322</v>
      </c>
      <c r="L19" s="2423">
        <v>29</v>
      </c>
      <c r="M19" s="2440" t="s">
        <v>1720</v>
      </c>
      <c r="P19" s="98">
        <f t="shared" si="0"/>
        <v>12</v>
      </c>
      <c r="Q19" s="2192" t="s">
        <v>1717</v>
      </c>
      <c r="R19" s="2194" t="s">
        <v>3354</v>
      </c>
      <c r="S19" s="2192">
        <v>0</v>
      </c>
      <c r="T19" s="2193" t="s">
        <v>1718</v>
      </c>
      <c r="U19" s="2191"/>
      <c r="W19" s="37">
        <v>14</v>
      </c>
      <c r="X19" s="1776" t="s">
        <v>2742</v>
      </c>
      <c r="Y19" s="1672">
        <v>8139905</v>
      </c>
      <c r="Z19" s="75" t="s">
        <v>1060</v>
      </c>
      <c r="AA19" s="1333" t="s">
        <v>2447</v>
      </c>
      <c r="AB19" t="s">
        <v>3771</v>
      </c>
    </row>
    <row r="20" spans="2:33">
      <c r="B20" s="98">
        <f t="shared" si="1"/>
        <v>8</v>
      </c>
      <c r="C20" s="2410">
        <v>942037448</v>
      </c>
      <c r="D20" s="2416"/>
      <c r="E20" s="2428">
        <v>14</v>
      </c>
      <c r="F20" s="2407">
        <v>942037448</v>
      </c>
      <c r="G20" s="2423">
        <v>8</v>
      </c>
      <c r="H20" s="2439" t="s">
        <v>142</v>
      </c>
      <c r="J20" s="2428">
        <v>36</v>
      </c>
      <c r="K20" s="2407">
        <v>971551435</v>
      </c>
      <c r="L20" s="2423">
        <v>30</v>
      </c>
      <c r="M20" s="2440" t="s">
        <v>3329</v>
      </c>
      <c r="P20" s="98">
        <f t="shared" si="0"/>
        <v>13</v>
      </c>
      <c r="Q20" s="2324" t="s">
        <v>2197</v>
      </c>
      <c r="R20" s="2197" t="s">
        <v>3354</v>
      </c>
      <c r="S20" s="197">
        <v>0</v>
      </c>
      <c r="T20" s="2198" t="s">
        <v>142</v>
      </c>
      <c r="U20" s="2191"/>
      <c r="W20" s="37">
        <v>15</v>
      </c>
      <c r="X20" s="1776" t="s">
        <v>2743</v>
      </c>
      <c r="Y20" s="1328">
        <v>8139904</v>
      </c>
      <c r="Z20" s="75" t="s">
        <v>1058</v>
      </c>
      <c r="AA20" s="1333" t="s">
        <v>2447</v>
      </c>
      <c r="AB20" t="s">
        <v>3771</v>
      </c>
    </row>
    <row r="21" spans="2:33">
      <c r="B21" s="98">
        <f t="shared" si="1"/>
        <v>9</v>
      </c>
      <c r="C21" s="2410" t="s">
        <v>145</v>
      </c>
      <c r="D21" s="2416"/>
      <c r="E21" s="2428">
        <v>15</v>
      </c>
      <c r="F21" s="2407">
        <v>942027425</v>
      </c>
      <c r="G21" s="2423">
        <v>9</v>
      </c>
      <c r="H21" s="2439" t="s">
        <v>146</v>
      </c>
      <c r="J21" s="2428">
        <v>37</v>
      </c>
      <c r="K21" s="2407">
        <v>971532614</v>
      </c>
      <c r="L21" s="2423">
        <v>31</v>
      </c>
      <c r="M21" s="2440" t="s">
        <v>3330</v>
      </c>
      <c r="P21" s="98">
        <f t="shared" si="0"/>
        <v>14</v>
      </c>
      <c r="Q21" s="2192" t="s">
        <v>145</v>
      </c>
      <c r="R21" s="2194" t="s">
        <v>3354</v>
      </c>
      <c r="S21" s="2192">
        <v>0</v>
      </c>
      <c r="T21" s="2193" t="s">
        <v>146</v>
      </c>
      <c r="U21" s="2191"/>
      <c r="W21" s="37">
        <v>16</v>
      </c>
      <c r="X21" s="1776" t="s">
        <v>2745</v>
      </c>
      <c r="Y21" s="1672">
        <v>4005130</v>
      </c>
      <c r="Z21" s="75" t="s">
        <v>949</v>
      </c>
      <c r="AA21" s="1333" t="s">
        <v>871</v>
      </c>
      <c r="AB21" t="s">
        <v>3771</v>
      </c>
    </row>
    <row r="22" spans="2:33">
      <c r="B22" s="98">
        <f t="shared" si="1"/>
        <v>10</v>
      </c>
      <c r="C22" s="2411" t="s">
        <v>148</v>
      </c>
      <c r="D22" s="2417"/>
      <c r="E22" s="2428">
        <v>16</v>
      </c>
      <c r="F22" s="2407">
        <v>942009102</v>
      </c>
      <c r="G22" s="2423">
        <v>10</v>
      </c>
      <c r="H22" s="2436" t="s">
        <v>149</v>
      </c>
      <c r="J22" s="2428">
        <v>38</v>
      </c>
      <c r="K22" s="2407">
        <v>971532656</v>
      </c>
      <c r="L22" s="2423">
        <v>32</v>
      </c>
      <c r="M22" s="2440" t="s">
        <v>1358</v>
      </c>
      <c r="P22" s="98">
        <f t="shared" si="0"/>
        <v>15</v>
      </c>
      <c r="Q22" s="2192" t="s">
        <v>148</v>
      </c>
      <c r="R22" s="2194" t="s">
        <v>3354</v>
      </c>
      <c r="S22" s="2192">
        <v>0</v>
      </c>
      <c r="T22" s="2193" t="s">
        <v>149</v>
      </c>
      <c r="U22" s="2191"/>
      <c r="W22" s="37">
        <v>17</v>
      </c>
      <c r="X22" s="1776" t="s">
        <v>2997</v>
      </c>
      <c r="Y22" s="1328">
        <v>4204490</v>
      </c>
      <c r="Z22" s="75" t="s">
        <v>1059</v>
      </c>
      <c r="AA22" s="1333" t="s">
        <v>2447</v>
      </c>
      <c r="AB22" t="s">
        <v>3771</v>
      </c>
    </row>
    <row r="23" spans="2:33">
      <c r="B23" s="98">
        <f t="shared" si="1"/>
        <v>11</v>
      </c>
      <c r="C23" s="2411" t="s">
        <v>151</v>
      </c>
      <c r="D23" s="2417"/>
      <c r="E23" s="2428">
        <v>17</v>
      </c>
      <c r="F23" s="2407">
        <v>941983586</v>
      </c>
      <c r="G23" s="2423">
        <v>11</v>
      </c>
      <c r="H23" s="2439" t="s">
        <v>152</v>
      </c>
      <c r="J23" s="2428">
        <v>39</v>
      </c>
      <c r="K23" s="2407">
        <v>971532467</v>
      </c>
      <c r="L23" s="2423">
        <v>33</v>
      </c>
      <c r="M23" s="2440" t="s">
        <v>3331</v>
      </c>
      <c r="P23" s="98">
        <f t="shared" si="0"/>
        <v>16</v>
      </c>
      <c r="Q23" s="2192" t="s">
        <v>151</v>
      </c>
      <c r="R23" s="2194" t="s">
        <v>3354</v>
      </c>
      <c r="S23" s="2192">
        <v>0</v>
      </c>
      <c r="T23" s="2193" t="s">
        <v>152</v>
      </c>
      <c r="U23" s="2191"/>
      <c r="W23" s="37">
        <v>18</v>
      </c>
      <c r="X23" s="1776" t="s">
        <v>340</v>
      </c>
      <c r="Y23" s="1328">
        <v>4204491</v>
      </c>
      <c r="Z23" s="75" t="s">
        <v>1061</v>
      </c>
      <c r="AA23" s="1333" t="s">
        <v>2447</v>
      </c>
      <c r="AB23" t="s">
        <v>3771</v>
      </c>
    </row>
    <row r="24" spans="2:33">
      <c r="B24" s="98">
        <f t="shared" si="1"/>
        <v>12</v>
      </c>
      <c r="C24" s="2411" t="s">
        <v>155</v>
      </c>
      <c r="D24" s="2417"/>
      <c r="E24" s="2428">
        <v>18</v>
      </c>
      <c r="F24" s="2407">
        <v>941957080</v>
      </c>
      <c r="G24" s="2423">
        <v>12</v>
      </c>
      <c r="H24" s="2439" t="s">
        <v>1998</v>
      </c>
      <c r="J24" s="2428">
        <v>40</v>
      </c>
      <c r="K24" s="2407">
        <v>971532369</v>
      </c>
      <c r="L24" s="2423">
        <v>34</v>
      </c>
      <c r="M24" s="2440"/>
      <c r="P24" s="98">
        <f t="shared" si="0"/>
        <v>17</v>
      </c>
      <c r="Q24" s="2192" t="s">
        <v>155</v>
      </c>
      <c r="R24" s="2194" t="s">
        <v>3354</v>
      </c>
      <c r="S24" s="2192">
        <v>0</v>
      </c>
      <c r="T24" s="2193" t="s">
        <v>1998</v>
      </c>
      <c r="U24" s="2191"/>
      <c r="W24" s="37">
        <v>19</v>
      </c>
      <c r="X24" s="1776" t="s">
        <v>341</v>
      </c>
      <c r="Y24" s="1328">
        <v>8137039</v>
      </c>
      <c r="Z24" s="75" t="s">
        <v>4335</v>
      </c>
      <c r="AA24" s="1333" t="s">
        <v>2447</v>
      </c>
      <c r="AB24" t="s">
        <v>3771</v>
      </c>
    </row>
    <row r="25" spans="2:33">
      <c r="B25" s="98">
        <f t="shared" si="1"/>
        <v>13</v>
      </c>
      <c r="C25" s="2411" t="s">
        <v>4473</v>
      </c>
      <c r="D25" s="2417"/>
      <c r="E25" s="2428">
        <v>19</v>
      </c>
      <c r="F25" s="2407">
        <v>941945726</v>
      </c>
      <c r="G25" s="2423">
        <v>13</v>
      </c>
      <c r="H25" s="2439" t="s">
        <v>3772</v>
      </c>
      <c r="J25" s="2428">
        <v>41</v>
      </c>
      <c r="K25" s="2407">
        <v>971528663</v>
      </c>
      <c r="L25" s="2423">
        <v>35</v>
      </c>
      <c r="M25" s="2440"/>
      <c r="P25" s="98">
        <f t="shared" si="0"/>
        <v>18</v>
      </c>
      <c r="Q25" s="2192" t="s">
        <v>4473</v>
      </c>
      <c r="R25" s="2194" t="s">
        <v>3354</v>
      </c>
      <c r="S25" s="2192">
        <v>0</v>
      </c>
      <c r="T25" s="2193" t="s">
        <v>3772</v>
      </c>
      <c r="U25" s="2191"/>
      <c r="W25" s="37">
        <v>20</v>
      </c>
      <c r="X25" s="1776" t="s">
        <v>342</v>
      </c>
      <c r="Y25" s="1328">
        <v>4259467</v>
      </c>
      <c r="Z25" s="75" t="s">
        <v>448</v>
      </c>
      <c r="AA25" s="1333" t="s">
        <v>2447</v>
      </c>
      <c r="AB25" t="s">
        <v>3771</v>
      </c>
    </row>
    <row r="26" spans="2:33">
      <c r="B26" s="98">
        <f t="shared" si="1"/>
        <v>14</v>
      </c>
      <c r="C26" s="2411" t="s">
        <v>4476</v>
      </c>
      <c r="D26" s="2417"/>
      <c r="E26" s="2428">
        <v>20</v>
      </c>
      <c r="F26" s="2407">
        <v>941944111</v>
      </c>
      <c r="G26" s="2423">
        <v>14</v>
      </c>
      <c r="H26" s="2439" t="s">
        <v>786</v>
      </c>
      <c r="J26" s="2428">
        <v>42</v>
      </c>
      <c r="K26" s="2407">
        <v>971518983</v>
      </c>
      <c r="L26" s="2423">
        <v>36</v>
      </c>
      <c r="M26" s="2440" t="s">
        <v>3332</v>
      </c>
      <c r="P26" s="98">
        <f t="shared" si="0"/>
        <v>19</v>
      </c>
      <c r="Q26" s="2192" t="s">
        <v>4476</v>
      </c>
      <c r="R26" s="2194" t="s">
        <v>3354</v>
      </c>
      <c r="S26" s="2192">
        <v>0</v>
      </c>
      <c r="T26" s="2193" t="s">
        <v>786</v>
      </c>
      <c r="U26" s="2191"/>
      <c r="W26" s="37">
        <v>21</v>
      </c>
      <c r="X26" s="1776" t="s">
        <v>4796</v>
      </c>
      <c r="Y26" s="1328">
        <v>4259471</v>
      </c>
      <c r="Z26" s="75" t="s">
        <v>4930</v>
      </c>
      <c r="AA26" s="1333" t="s">
        <v>2447</v>
      </c>
      <c r="AB26" t="s">
        <v>3771</v>
      </c>
    </row>
    <row r="27" spans="2:33">
      <c r="B27" s="98">
        <f t="shared" si="1"/>
        <v>15</v>
      </c>
      <c r="C27" s="2411" t="s">
        <v>1783</v>
      </c>
      <c r="D27" s="2417"/>
      <c r="E27" s="2428">
        <v>21</v>
      </c>
      <c r="F27" s="2407">
        <v>941895170</v>
      </c>
      <c r="G27" s="2423">
        <v>15</v>
      </c>
      <c r="H27" s="2439" t="s">
        <v>780</v>
      </c>
      <c r="J27" s="2428">
        <v>43</v>
      </c>
      <c r="K27" s="2407">
        <v>947875369</v>
      </c>
      <c r="L27" s="2423">
        <v>37</v>
      </c>
      <c r="M27" s="2440" t="s">
        <v>3333</v>
      </c>
      <c r="P27" s="98">
        <f t="shared" si="0"/>
        <v>20</v>
      </c>
      <c r="Q27" s="2192" t="s">
        <v>1783</v>
      </c>
      <c r="R27" s="2194" t="s">
        <v>3354</v>
      </c>
      <c r="S27" s="2192">
        <v>0</v>
      </c>
      <c r="T27" s="2193" t="s">
        <v>780</v>
      </c>
      <c r="U27" s="2191"/>
      <c r="W27" s="37">
        <v>22</v>
      </c>
      <c r="X27" s="1776" t="s">
        <v>4797</v>
      </c>
      <c r="Y27" s="1672" t="s">
        <v>1312</v>
      </c>
      <c r="Z27" s="1979" t="s">
        <v>1313</v>
      </c>
      <c r="AA27" s="1333" t="s">
        <v>2447</v>
      </c>
      <c r="AB27" t="s">
        <v>3771</v>
      </c>
    </row>
    <row r="28" spans="2:33">
      <c r="B28" s="98">
        <f t="shared" si="1"/>
        <v>16</v>
      </c>
      <c r="C28" s="2411" t="s">
        <v>4312</v>
      </c>
      <c r="D28" s="2417"/>
      <c r="E28" s="2428">
        <v>22</v>
      </c>
      <c r="F28" s="2407">
        <v>941838763</v>
      </c>
      <c r="G28" s="2423">
        <v>16</v>
      </c>
      <c r="H28" s="2439" t="s">
        <v>1058</v>
      </c>
      <c r="J28" s="2428">
        <v>44</v>
      </c>
      <c r="K28" s="2407">
        <v>947857773</v>
      </c>
      <c r="L28" s="2423">
        <v>38</v>
      </c>
      <c r="M28" s="2440" t="s">
        <v>4313</v>
      </c>
      <c r="P28" s="98">
        <f t="shared" si="0"/>
        <v>21</v>
      </c>
      <c r="Q28" s="2192" t="s">
        <v>4312</v>
      </c>
      <c r="R28" s="2194" t="s">
        <v>3354</v>
      </c>
      <c r="S28" s="2192">
        <v>0</v>
      </c>
      <c r="T28" s="2193" t="s">
        <v>1058</v>
      </c>
      <c r="U28" s="2191"/>
      <c r="W28" s="37">
        <v>23</v>
      </c>
      <c r="X28" s="1776" t="s">
        <v>1314</v>
      </c>
      <c r="Y28" s="1672" t="s">
        <v>1315</v>
      </c>
      <c r="Z28" s="1979" t="s">
        <v>2207</v>
      </c>
      <c r="AA28" s="1333" t="s">
        <v>2447</v>
      </c>
      <c r="AB28" t="s">
        <v>3771</v>
      </c>
    </row>
    <row r="29" spans="2:33">
      <c r="B29" s="98">
        <f>+B28+1</f>
        <v>17</v>
      </c>
      <c r="C29" s="2411" t="s">
        <v>1006</v>
      </c>
      <c r="D29" s="2417"/>
      <c r="E29" s="2429"/>
      <c r="F29" s="2430"/>
      <c r="G29" s="2431"/>
      <c r="H29" s="2432"/>
      <c r="I29" s="75"/>
      <c r="P29" s="98">
        <f>+P28+1</f>
        <v>22</v>
      </c>
      <c r="Q29" s="2192" t="s">
        <v>1006</v>
      </c>
      <c r="R29" s="2194" t="s">
        <v>3354</v>
      </c>
      <c r="S29" s="2192">
        <v>0</v>
      </c>
      <c r="T29" s="2193" t="s">
        <v>1007</v>
      </c>
      <c r="U29" s="2187"/>
      <c r="W29" s="37">
        <v>24</v>
      </c>
      <c r="X29" s="1776" t="s">
        <v>3298</v>
      </c>
      <c r="Y29" s="1672" t="s">
        <v>3299</v>
      </c>
      <c r="Z29" s="1979" t="s">
        <v>1206</v>
      </c>
      <c r="AA29" s="1333" t="s">
        <v>2447</v>
      </c>
      <c r="AB29" t="s">
        <v>3771</v>
      </c>
      <c r="AC29" s="98"/>
      <c r="AD29" s="98"/>
      <c r="AE29" s="98"/>
      <c r="AF29" s="98"/>
      <c r="AG29" s="98"/>
    </row>
    <row r="30" spans="2:33">
      <c r="B30" s="98">
        <f>+B29+1</f>
        <v>18</v>
      </c>
      <c r="C30" s="2411" t="s">
        <v>3353</v>
      </c>
      <c r="D30" s="2417"/>
      <c r="E30" s="2428">
        <v>23</v>
      </c>
      <c r="F30" s="2407">
        <v>971626433</v>
      </c>
      <c r="G30" s="2423">
        <v>17</v>
      </c>
      <c r="H30" s="2193" t="s">
        <v>3319</v>
      </c>
      <c r="P30" s="98">
        <f>+P29+1</f>
        <v>23</v>
      </c>
      <c r="Q30" s="2192" t="s">
        <v>3353</v>
      </c>
      <c r="R30" s="2194" t="s">
        <v>3354</v>
      </c>
      <c r="S30" s="2192">
        <v>0</v>
      </c>
      <c r="T30" s="2193" t="s">
        <v>3355</v>
      </c>
      <c r="U30" s="2187"/>
      <c r="W30" s="37">
        <v>25</v>
      </c>
      <c r="X30" s="1776" t="s">
        <v>1207</v>
      </c>
      <c r="Y30" s="1672" t="s">
        <v>1208</v>
      </c>
      <c r="Z30" s="1979" t="s">
        <v>1209</v>
      </c>
      <c r="AA30" s="1333" t="s">
        <v>2447</v>
      </c>
      <c r="AB30" t="s">
        <v>3771</v>
      </c>
      <c r="AC30" s="98"/>
      <c r="AD30" s="98"/>
      <c r="AE30" s="98"/>
      <c r="AF30" s="98"/>
      <c r="AG30" s="98"/>
    </row>
    <row r="31" spans="2:33">
      <c r="B31" s="98">
        <f t="shared" ref="B31:B50" si="2">+B30+1</f>
        <v>19</v>
      </c>
      <c r="C31" s="2411" t="s">
        <v>3358</v>
      </c>
      <c r="D31" s="2417"/>
      <c r="E31" s="2428">
        <v>24</v>
      </c>
      <c r="F31" s="2407">
        <v>971613267</v>
      </c>
      <c r="G31" s="2423">
        <v>18</v>
      </c>
      <c r="H31" s="2193" t="s">
        <v>3320</v>
      </c>
      <c r="P31" s="98">
        <f t="shared" ref="P31:P50" si="3">+P30+1</f>
        <v>24</v>
      </c>
      <c r="Q31" s="2192" t="s">
        <v>3358</v>
      </c>
      <c r="R31" s="2194" t="s">
        <v>3354</v>
      </c>
      <c r="S31" s="2192">
        <v>0</v>
      </c>
      <c r="T31" s="2193" t="s">
        <v>3359</v>
      </c>
      <c r="W31" s="37">
        <v>26</v>
      </c>
      <c r="X31" s="1776" t="s">
        <v>3019</v>
      </c>
      <c r="Y31" s="1672" t="s">
        <v>1789</v>
      </c>
      <c r="Z31" s="1979" t="s">
        <v>4706</v>
      </c>
      <c r="AA31" s="1333" t="s">
        <v>2447</v>
      </c>
      <c r="AB31" t="s">
        <v>3771</v>
      </c>
    </row>
    <row r="32" spans="2:33">
      <c r="B32" s="98">
        <f t="shared" si="2"/>
        <v>20</v>
      </c>
      <c r="C32" s="2411" t="s">
        <v>3361</v>
      </c>
      <c r="D32" s="2417"/>
      <c r="E32" s="2428">
        <v>25</v>
      </c>
      <c r="F32" s="2407">
        <v>971608151</v>
      </c>
      <c r="G32" s="2423">
        <v>19</v>
      </c>
      <c r="H32" s="2193" t="s">
        <v>3321</v>
      </c>
      <c r="P32" s="98">
        <f t="shared" si="3"/>
        <v>25</v>
      </c>
      <c r="Q32" s="2192" t="s">
        <v>3361</v>
      </c>
      <c r="R32" s="2194" t="s">
        <v>3354</v>
      </c>
      <c r="S32" s="2192">
        <v>0</v>
      </c>
      <c r="T32" s="2193" t="s">
        <v>3362</v>
      </c>
      <c r="W32" s="37">
        <v>27</v>
      </c>
      <c r="X32" s="1776" t="s">
        <v>4707</v>
      </c>
      <c r="Y32" s="1672" t="s">
        <v>2868</v>
      </c>
      <c r="Z32" s="1979" t="s">
        <v>2869</v>
      </c>
      <c r="AA32" s="1333" t="s">
        <v>2447</v>
      </c>
      <c r="AB32" t="s">
        <v>3771</v>
      </c>
    </row>
    <row r="33" spans="2:28">
      <c r="B33" s="98">
        <f t="shared" si="2"/>
        <v>21</v>
      </c>
      <c r="C33" s="2411" t="s">
        <v>3365</v>
      </c>
      <c r="D33" s="2417"/>
      <c r="E33" s="2428">
        <v>26</v>
      </c>
      <c r="F33" s="2407">
        <v>971554723</v>
      </c>
      <c r="G33" s="2423">
        <v>20</v>
      </c>
      <c r="H33" s="2424" t="s">
        <v>3323</v>
      </c>
      <c r="P33" s="98">
        <f t="shared" si="3"/>
        <v>26</v>
      </c>
      <c r="Q33" s="2192" t="s">
        <v>3365</v>
      </c>
      <c r="R33" s="2194" t="s">
        <v>3354</v>
      </c>
      <c r="S33" s="2192">
        <v>0</v>
      </c>
      <c r="T33" s="2193" t="s">
        <v>3366</v>
      </c>
      <c r="W33" s="37">
        <v>28</v>
      </c>
      <c r="X33" s="1776" t="s">
        <v>43</v>
      </c>
      <c r="Y33" s="1672" t="s">
        <v>4521</v>
      </c>
      <c r="Z33" s="1979" t="s">
        <v>4522</v>
      </c>
      <c r="AA33" s="1333" t="s">
        <v>2447</v>
      </c>
      <c r="AB33" t="s">
        <v>3771</v>
      </c>
    </row>
    <row r="34" spans="2:28">
      <c r="B34" s="98">
        <f t="shared" si="2"/>
        <v>22</v>
      </c>
      <c r="C34" s="2411" t="s">
        <v>2220</v>
      </c>
      <c r="D34" s="2417"/>
      <c r="E34" s="2428">
        <v>27</v>
      </c>
      <c r="F34" s="2407">
        <v>971549745</v>
      </c>
      <c r="G34" s="2423">
        <v>21</v>
      </c>
      <c r="H34" s="2193" t="s">
        <v>3324</v>
      </c>
      <c r="P34" s="98">
        <f t="shared" si="3"/>
        <v>27</v>
      </c>
      <c r="Q34" s="2192" t="s">
        <v>2220</v>
      </c>
      <c r="R34" s="2194" t="s">
        <v>3354</v>
      </c>
      <c r="S34" s="2192">
        <v>0</v>
      </c>
      <c r="T34" s="2193" t="s">
        <v>4175</v>
      </c>
      <c r="W34" s="37">
        <v>29</v>
      </c>
      <c r="X34" s="1776" t="s">
        <v>4523</v>
      </c>
      <c r="Y34" s="1672" t="s">
        <v>4524</v>
      </c>
      <c r="Z34" s="1979" t="s">
        <v>4525</v>
      </c>
      <c r="AA34" s="1333" t="s">
        <v>2447</v>
      </c>
      <c r="AB34" t="s">
        <v>3771</v>
      </c>
    </row>
    <row r="35" spans="2:28">
      <c r="B35" s="98">
        <f t="shared" si="2"/>
        <v>23</v>
      </c>
      <c r="C35" s="2411" t="s">
        <v>4658</v>
      </c>
      <c r="D35" s="2417"/>
      <c r="E35" s="2428">
        <v>28</v>
      </c>
      <c r="F35" s="2407">
        <v>971543818</v>
      </c>
      <c r="G35" s="2423">
        <v>22</v>
      </c>
      <c r="H35" s="2193" t="s">
        <v>4175</v>
      </c>
      <c r="P35" s="98">
        <f t="shared" si="3"/>
        <v>28</v>
      </c>
      <c r="Q35" s="2192" t="s">
        <v>4658</v>
      </c>
      <c r="R35" s="2194" t="s">
        <v>3354</v>
      </c>
      <c r="S35" s="2192">
        <v>0</v>
      </c>
      <c r="T35" s="2193" t="s">
        <v>3461</v>
      </c>
      <c r="W35" s="37">
        <v>30</v>
      </c>
      <c r="X35" s="1776" t="s">
        <v>4526</v>
      </c>
      <c r="Y35" s="1672" t="s">
        <v>4527</v>
      </c>
      <c r="Z35" s="1979" t="s">
        <v>1645</v>
      </c>
      <c r="AA35" s="1333" t="s">
        <v>2447</v>
      </c>
      <c r="AB35" t="s">
        <v>3771</v>
      </c>
    </row>
    <row r="36" spans="2:28">
      <c r="B36" s="98">
        <f t="shared" si="2"/>
        <v>24</v>
      </c>
      <c r="C36" s="2411" t="s">
        <v>4661</v>
      </c>
      <c r="D36" s="2417"/>
      <c r="E36" s="2428">
        <v>29</v>
      </c>
      <c r="F36" s="2407">
        <v>971569062</v>
      </c>
      <c r="G36" s="2423">
        <v>23</v>
      </c>
      <c r="H36" s="2193" t="s">
        <v>3461</v>
      </c>
      <c r="P36" s="98">
        <f t="shared" si="3"/>
        <v>29</v>
      </c>
      <c r="Q36" s="2192" t="s">
        <v>4661</v>
      </c>
      <c r="R36" s="2194" t="s">
        <v>3354</v>
      </c>
      <c r="S36" s="2192">
        <v>0</v>
      </c>
      <c r="T36" s="2193" t="s">
        <v>4662</v>
      </c>
      <c r="W36" s="37">
        <v>31</v>
      </c>
      <c r="X36" s="1776" t="s">
        <v>4061</v>
      </c>
      <c r="Y36" s="1672" t="s">
        <v>4062</v>
      </c>
      <c r="Z36" s="1979" t="s">
        <v>4063</v>
      </c>
      <c r="AA36" s="1333" t="s">
        <v>2447</v>
      </c>
      <c r="AB36" t="s">
        <v>3771</v>
      </c>
    </row>
    <row r="37" spans="2:28">
      <c r="B37" s="98">
        <f t="shared" si="2"/>
        <v>25</v>
      </c>
      <c r="C37" s="2411" t="s">
        <v>4664</v>
      </c>
      <c r="D37" s="2417"/>
      <c r="E37" s="2428">
        <v>30</v>
      </c>
      <c r="F37" s="2407">
        <v>971570428</v>
      </c>
      <c r="G37" s="2423">
        <v>24</v>
      </c>
      <c r="H37" s="2193" t="s">
        <v>3325</v>
      </c>
      <c r="P37" s="98">
        <f t="shared" si="3"/>
        <v>30</v>
      </c>
      <c r="Q37" s="2192" t="s">
        <v>4664</v>
      </c>
      <c r="R37" s="2194" t="s">
        <v>3354</v>
      </c>
      <c r="S37" s="2192">
        <v>0</v>
      </c>
      <c r="T37" s="2193" t="s">
        <v>4665</v>
      </c>
      <c r="W37" s="37">
        <v>32</v>
      </c>
      <c r="X37" s="1776" t="s">
        <v>4064</v>
      </c>
      <c r="Y37" s="1672" t="s">
        <v>4065</v>
      </c>
      <c r="Z37" s="1979" t="s">
        <v>71</v>
      </c>
      <c r="AA37" s="1333" t="s">
        <v>2447</v>
      </c>
      <c r="AB37" t="s">
        <v>3771</v>
      </c>
    </row>
    <row r="38" spans="2:28">
      <c r="B38" s="98">
        <f t="shared" si="2"/>
        <v>26</v>
      </c>
      <c r="C38" s="2411" t="s">
        <v>2671</v>
      </c>
      <c r="D38" s="2417"/>
      <c r="E38" s="2428">
        <v>31</v>
      </c>
      <c r="F38" s="2407">
        <v>971569623</v>
      </c>
      <c r="G38" s="2423">
        <v>25</v>
      </c>
      <c r="H38" s="2193" t="s">
        <v>3326</v>
      </c>
      <c r="P38" s="98">
        <f t="shared" si="3"/>
        <v>31</v>
      </c>
      <c r="Q38" s="2192" t="s">
        <v>2671</v>
      </c>
      <c r="R38" s="2194" t="s">
        <v>3354</v>
      </c>
      <c r="S38" s="2192">
        <v>0</v>
      </c>
      <c r="T38" s="2193" t="s">
        <v>2672</v>
      </c>
      <c r="W38" s="37">
        <v>33</v>
      </c>
      <c r="X38" s="1776" t="s">
        <v>72</v>
      </c>
      <c r="Y38" s="1672" t="s">
        <v>2039</v>
      </c>
      <c r="Z38" s="1979" t="s">
        <v>4645</v>
      </c>
      <c r="AA38" s="1333" t="s">
        <v>2447</v>
      </c>
      <c r="AB38" t="s">
        <v>3771</v>
      </c>
    </row>
    <row r="39" spans="2:28">
      <c r="B39" s="98">
        <f t="shared" si="2"/>
        <v>27</v>
      </c>
      <c r="C39" s="2411" t="s">
        <v>2675</v>
      </c>
      <c r="D39" s="2417"/>
      <c r="E39" s="2428">
        <v>32</v>
      </c>
      <c r="F39" s="2407">
        <v>971568488</v>
      </c>
      <c r="G39" s="2423">
        <v>26</v>
      </c>
      <c r="H39" s="2193" t="s">
        <v>3327</v>
      </c>
      <c r="P39" s="98">
        <f t="shared" si="3"/>
        <v>32</v>
      </c>
      <c r="Q39" s="2192" t="s">
        <v>2675</v>
      </c>
      <c r="R39" s="2194" t="s">
        <v>3354</v>
      </c>
      <c r="S39" s="2192">
        <v>0</v>
      </c>
      <c r="T39" s="2193" t="s">
        <v>2676</v>
      </c>
      <c r="W39" s="37">
        <v>34</v>
      </c>
      <c r="X39" s="1776" t="s">
        <v>2273</v>
      </c>
      <c r="Y39" s="1672" t="s">
        <v>2274</v>
      </c>
      <c r="Z39" s="1979" t="s">
        <v>2275</v>
      </c>
      <c r="AA39" s="1333" t="s">
        <v>2447</v>
      </c>
      <c r="AB39" t="s">
        <v>3771</v>
      </c>
    </row>
    <row r="40" spans="2:28">
      <c r="B40" s="98">
        <f t="shared" si="2"/>
        <v>28</v>
      </c>
      <c r="C40" s="2411" t="s">
        <v>1715</v>
      </c>
      <c r="D40" s="2417"/>
      <c r="E40" s="2428">
        <v>33</v>
      </c>
      <c r="F40" s="2407">
        <v>971567652</v>
      </c>
      <c r="G40" s="2423">
        <v>27</v>
      </c>
      <c r="H40" s="2193" t="s">
        <v>2676</v>
      </c>
      <c r="P40" s="98">
        <f t="shared" si="3"/>
        <v>33</v>
      </c>
      <c r="Q40" s="2192" t="s">
        <v>1715</v>
      </c>
      <c r="R40" s="2194" t="s">
        <v>3354</v>
      </c>
      <c r="S40" s="2192">
        <v>0</v>
      </c>
      <c r="T40" s="2193" t="s">
        <v>1716</v>
      </c>
      <c r="W40" s="37">
        <v>35</v>
      </c>
      <c r="X40" s="1776" t="s">
        <v>2276</v>
      </c>
      <c r="Y40" s="1672" t="s">
        <v>2277</v>
      </c>
      <c r="Z40" s="1980" t="s">
        <v>2487</v>
      </c>
      <c r="AA40" s="1333" t="s">
        <v>2447</v>
      </c>
      <c r="AB40" t="s">
        <v>3771</v>
      </c>
    </row>
    <row r="41" spans="2:28" ht="18.75" thickBot="1">
      <c r="B41" s="98">
        <f t="shared" si="2"/>
        <v>29</v>
      </c>
      <c r="C41" s="2411" t="s">
        <v>1719</v>
      </c>
      <c r="D41" s="2417"/>
      <c r="E41" s="2428">
        <v>34</v>
      </c>
      <c r="F41" s="2407">
        <v>971565321</v>
      </c>
      <c r="G41" s="2423">
        <v>28</v>
      </c>
      <c r="H41" s="2193" t="s">
        <v>3328</v>
      </c>
      <c r="P41" s="98">
        <f t="shared" si="3"/>
        <v>34</v>
      </c>
      <c r="Q41" s="2192" t="s">
        <v>1719</v>
      </c>
      <c r="R41" s="2194" t="s">
        <v>3354</v>
      </c>
      <c r="S41" s="2192">
        <v>0</v>
      </c>
      <c r="T41" s="2193" t="s">
        <v>1720</v>
      </c>
      <c r="W41" s="1155">
        <v>36</v>
      </c>
      <c r="X41" s="1777" t="s">
        <v>2278</v>
      </c>
      <c r="Y41" s="1978" t="s">
        <v>2279</v>
      </c>
      <c r="Z41" s="1981" t="s">
        <v>2487</v>
      </c>
      <c r="AA41" s="1335" t="s">
        <v>2447</v>
      </c>
      <c r="AB41" t="s">
        <v>3771</v>
      </c>
    </row>
    <row r="42" spans="2:28">
      <c r="B42" s="98">
        <f t="shared" si="2"/>
        <v>30</v>
      </c>
      <c r="C42" s="2411" t="s">
        <v>143</v>
      </c>
      <c r="D42" s="2417"/>
      <c r="E42" s="2428">
        <v>35</v>
      </c>
      <c r="F42" s="2407">
        <v>971564322</v>
      </c>
      <c r="G42" s="2423">
        <v>29</v>
      </c>
      <c r="H42" s="2193" t="s">
        <v>1720</v>
      </c>
      <c r="P42" s="98">
        <f t="shared" si="3"/>
        <v>35</v>
      </c>
      <c r="Q42" s="2192" t="s">
        <v>143</v>
      </c>
      <c r="R42" s="2194" t="s">
        <v>3354</v>
      </c>
      <c r="S42" s="2192">
        <v>0</v>
      </c>
      <c r="T42" s="2193" t="s">
        <v>144</v>
      </c>
      <c r="W42" s="37">
        <v>1</v>
      </c>
      <c r="X42" s="1974" t="s">
        <v>4798</v>
      </c>
      <c r="Y42" s="1975">
        <v>4045882</v>
      </c>
      <c r="Z42" s="1976" t="s">
        <v>1195</v>
      </c>
      <c r="AA42" s="1977" t="s">
        <v>871</v>
      </c>
    </row>
    <row r="43" spans="2:28">
      <c r="B43" s="98">
        <f t="shared" si="2"/>
        <v>31</v>
      </c>
      <c r="C43" s="2411" t="s">
        <v>147</v>
      </c>
      <c r="D43" s="2417"/>
      <c r="E43" s="2428">
        <v>36</v>
      </c>
      <c r="F43" s="2407">
        <v>971551435</v>
      </c>
      <c r="G43" s="2423">
        <v>30</v>
      </c>
      <c r="H43" s="2193" t="s">
        <v>3329</v>
      </c>
      <c r="P43" s="98">
        <f t="shared" si="3"/>
        <v>36</v>
      </c>
      <c r="Q43" s="2192" t="s">
        <v>147</v>
      </c>
      <c r="R43" s="2194" t="s">
        <v>3354</v>
      </c>
      <c r="S43" s="2192">
        <v>0</v>
      </c>
      <c r="T43" s="2193" t="s">
        <v>2447</v>
      </c>
      <c r="W43" s="37">
        <v>2</v>
      </c>
      <c r="X43" s="1776" t="s">
        <v>2739</v>
      </c>
      <c r="Y43" s="1672">
        <v>8135155</v>
      </c>
      <c r="Z43" s="75" t="s">
        <v>2447</v>
      </c>
      <c r="AA43" s="1333" t="s">
        <v>2447</v>
      </c>
    </row>
    <row r="44" spans="2:28">
      <c r="B44" s="98">
        <f t="shared" si="2"/>
        <v>32</v>
      </c>
      <c r="C44" s="2411" t="s">
        <v>150</v>
      </c>
      <c r="D44" s="2417"/>
      <c r="E44" s="2428">
        <v>37</v>
      </c>
      <c r="F44" s="2407">
        <v>971532614</v>
      </c>
      <c r="G44" s="2423">
        <v>31</v>
      </c>
      <c r="H44" s="2193" t="s">
        <v>3330</v>
      </c>
      <c r="P44" s="98">
        <f t="shared" si="3"/>
        <v>37</v>
      </c>
      <c r="Q44" s="2192" t="s">
        <v>150</v>
      </c>
      <c r="R44" s="2194" t="s">
        <v>3354</v>
      </c>
      <c r="S44" s="2192">
        <v>0</v>
      </c>
      <c r="T44" s="2193" t="s">
        <v>1358</v>
      </c>
      <c r="W44" s="37">
        <v>3</v>
      </c>
      <c r="X44" s="1776" t="s">
        <v>2740</v>
      </c>
      <c r="Y44" s="1672">
        <v>8131357</v>
      </c>
      <c r="Z44" s="75" t="s">
        <v>2447</v>
      </c>
      <c r="AA44" s="1333" t="s">
        <v>2447</v>
      </c>
    </row>
    <row r="45" spans="2:28">
      <c r="B45" s="98">
        <f t="shared" si="2"/>
        <v>33</v>
      </c>
      <c r="C45" s="2411" t="s">
        <v>153</v>
      </c>
      <c r="D45" s="2417"/>
      <c r="E45" s="2428">
        <v>38</v>
      </c>
      <c r="F45" s="2407">
        <v>971532656</v>
      </c>
      <c r="G45" s="2423">
        <v>32</v>
      </c>
      <c r="H45" s="2193" t="s">
        <v>1358</v>
      </c>
      <c r="N45" s="70"/>
      <c r="P45" s="98">
        <f t="shared" si="3"/>
        <v>38</v>
      </c>
      <c r="Q45" s="2192" t="s">
        <v>153</v>
      </c>
      <c r="R45" s="2194" t="s">
        <v>3354</v>
      </c>
      <c r="S45" s="2192">
        <v>0</v>
      </c>
      <c r="T45" s="2193" t="s">
        <v>154</v>
      </c>
      <c r="V45" s="70"/>
      <c r="W45" s="37">
        <v>4</v>
      </c>
      <c r="X45" s="1776" t="s">
        <v>2744</v>
      </c>
      <c r="Y45" s="1328">
        <v>8138278</v>
      </c>
      <c r="Z45" s="75" t="s">
        <v>2447</v>
      </c>
      <c r="AA45" s="1333" t="s">
        <v>2447</v>
      </c>
    </row>
    <row r="46" spans="2:28">
      <c r="B46" s="98">
        <f t="shared" si="2"/>
        <v>34</v>
      </c>
      <c r="C46" s="2411" t="s">
        <v>4471</v>
      </c>
      <c r="D46" s="2417"/>
      <c r="E46" s="2428">
        <v>39</v>
      </c>
      <c r="F46" s="2407">
        <v>971532467</v>
      </c>
      <c r="G46" s="2423">
        <v>33</v>
      </c>
      <c r="H46" s="2193" t="s">
        <v>3331</v>
      </c>
      <c r="I46" s="70"/>
      <c r="P46" s="98">
        <f t="shared" si="3"/>
        <v>39</v>
      </c>
      <c r="Q46" s="2192" t="s">
        <v>4471</v>
      </c>
      <c r="R46" s="2194" t="s">
        <v>3354</v>
      </c>
      <c r="S46" s="2192">
        <v>0</v>
      </c>
      <c r="T46" s="2193" t="s">
        <v>4472</v>
      </c>
      <c r="W46" s="37">
        <v>5</v>
      </c>
      <c r="X46" s="1776" t="s">
        <v>2746</v>
      </c>
      <c r="Y46" s="1328">
        <v>8134188</v>
      </c>
      <c r="Z46" s="75" t="s">
        <v>2447</v>
      </c>
      <c r="AA46" s="1333" t="s">
        <v>2447</v>
      </c>
    </row>
    <row r="47" spans="2:28">
      <c r="B47" s="98">
        <f t="shared" si="2"/>
        <v>35</v>
      </c>
      <c r="C47" s="2411" t="s">
        <v>4474</v>
      </c>
      <c r="D47" s="2417"/>
      <c r="E47" s="2428">
        <v>40</v>
      </c>
      <c r="F47" s="2407">
        <v>971532369</v>
      </c>
      <c r="G47" s="2423">
        <v>34</v>
      </c>
      <c r="H47" s="2193"/>
      <c r="P47" s="98">
        <f t="shared" si="3"/>
        <v>40</v>
      </c>
      <c r="Q47" s="2192" t="s">
        <v>4474</v>
      </c>
      <c r="R47" s="2194" t="s">
        <v>3354</v>
      </c>
      <c r="S47" s="2192">
        <v>0</v>
      </c>
      <c r="T47" s="2193" t="s">
        <v>4475</v>
      </c>
      <c r="W47" s="37">
        <v>6</v>
      </c>
      <c r="X47" s="1776" t="s">
        <v>2348</v>
      </c>
      <c r="Y47" s="1328">
        <v>4204489</v>
      </c>
      <c r="Z47" s="75" t="s">
        <v>2447</v>
      </c>
      <c r="AA47" s="1333" t="s">
        <v>2447</v>
      </c>
    </row>
    <row r="48" spans="2:28">
      <c r="B48" s="98">
        <f t="shared" si="2"/>
        <v>36</v>
      </c>
      <c r="C48" s="2411" t="s">
        <v>787</v>
      </c>
      <c r="D48" s="2417"/>
      <c r="E48" s="2428">
        <v>41</v>
      </c>
      <c r="F48" s="2407">
        <v>971528663</v>
      </c>
      <c r="G48" s="2423">
        <v>35</v>
      </c>
      <c r="H48" s="2193"/>
      <c r="P48" s="98">
        <f t="shared" si="3"/>
        <v>41</v>
      </c>
      <c r="Q48" s="2192" t="s">
        <v>787</v>
      </c>
      <c r="R48" s="2194" t="s">
        <v>3354</v>
      </c>
      <c r="S48" s="2192">
        <v>0</v>
      </c>
      <c r="T48" s="2193" t="s">
        <v>2639</v>
      </c>
      <c r="W48" s="37">
        <v>7</v>
      </c>
      <c r="X48" s="1776" t="s">
        <v>343</v>
      </c>
      <c r="Y48" s="1328">
        <v>4259469</v>
      </c>
      <c r="Z48" s="75" t="s">
        <v>2447</v>
      </c>
      <c r="AA48" s="1333" t="s">
        <v>2447</v>
      </c>
    </row>
    <row r="49" spans="2:27">
      <c r="B49" s="98">
        <f t="shared" si="2"/>
        <v>37</v>
      </c>
      <c r="C49" s="2411">
        <v>947875369</v>
      </c>
      <c r="D49" s="2417"/>
      <c r="E49" s="2428">
        <v>42</v>
      </c>
      <c r="F49" s="2407">
        <v>971518983</v>
      </c>
      <c r="G49" s="2423">
        <v>36</v>
      </c>
      <c r="H49" s="2193" t="s">
        <v>3332</v>
      </c>
      <c r="P49" s="98">
        <f t="shared" si="3"/>
        <v>42</v>
      </c>
      <c r="Q49" s="2192">
        <v>947875369</v>
      </c>
      <c r="R49" s="2194" t="s">
        <v>3354</v>
      </c>
      <c r="S49" s="2192">
        <v>0</v>
      </c>
      <c r="T49" s="2193" t="s">
        <v>4311</v>
      </c>
      <c r="W49" s="37">
        <v>8</v>
      </c>
      <c r="X49" s="1776" t="s">
        <v>344</v>
      </c>
      <c r="Y49" s="1328">
        <v>4259470</v>
      </c>
      <c r="Z49" s="75" t="s">
        <v>2447</v>
      </c>
      <c r="AA49" s="1333" t="s">
        <v>2447</v>
      </c>
    </row>
    <row r="50" spans="2:27" ht="18.75" thickBot="1">
      <c r="B50" s="98">
        <f t="shared" si="2"/>
        <v>38</v>
      </c>
      <c r="C50" s="2411">
        <v>947857773</v>
      </c>
      <c r="D50" s="2417"/>
      <c r="E50" s="2428">
        <v>43</v>
      </c>
      <c r="F50" s="2407">
        <v>947875369</v>
      </c>
      <c r="G50" s="2423">
        <v>37</v>
      </c>
      <c r="H50" s="2193" t="s">
        <v>3333</v>
      </c>
      <c r="P50" s="98">
        <f t="shared" si="3"/>
        <v>43</v>
      </c>
      <c r="Q50" s="2192">
        <v>947857773</v>
      </c>
      <c r="R50" s="2194" t="s">
        <v>3354</v>
      </c>
      <c r="S50" s="2192">
        <v>0</v>
      </c>
      <c r="T50" s="2193" t="s">
        <v>4313</v>
      </c>
      <c r="W50" s="1155">
        <v>9</v>
      </c>
      <c r="X50" s="1777" t="s">
        <v>4797</v>
      </c>
      <c r="Y50" s="1329">
        <v>4045883</v>
      </c>
      <c r="Z50" s="1325" t="s">
        <v>2447</v>
      </c>
      <c r="AA50" s="1335" t="s">
        <v>2447</v>
      </c>
    </row>
    <row r="51" spans="2:27">
      <c r="E51" s="2428">
        <v>44</v>
      </c>
      <c r="F51" s="2407">
        <v>947857773</v>
      </c>
      <c r="G51" s="2423">
        <v>38</v>
      </c>
      <c r="H51" s="2193" t="s">
        <v>4313</v>
      </c>
      <c r="Y51" s="1330"/>
    </row>
    <row r="52" spans="2:27">
      <c r="Y52" s="1330"/>
    </row>
    <row r="53" spans="2:27">
      <c r="Y53" s="1330"/>
    </row>
    <row r="54" spans="2:27">
      <c r="Y54" s="1330"/>
    </row>
    <row r="55" spans="2:27">
      <c r="Y55" s="1330"/>
    </row>
    <row r="56" spans="2:27">
      <c r="Y56" s="1330"/>
    </row>
    <row r="57" spans="2:27">
      <c r="Y57" s="1330"/>
    </row>
    <row r="58" spans="2:27">
      <c r="Y58" s="1330"/>
    </row>
    <row r="59" spans="2:27">
      <c r="Y59" s="1330"/>
    </row>
    <row r="60" spans="2:27">
      <c r="Y60" s="1330"/>
    </row>
    <row r="61" spans="2:27">
      <c r="Y61" s="1330"/>
    </row>
    <row r="62" spans="2:27">
      <c r="Y62" s="1330"/>
    </row>
    <row r="63" spans="2:27">
      <c r="Y63" s="1330"/>
    </row>
    <row r="64" spans="2:27">
      <c r="Y64" s="1330"/>
    </row>
    <row r="65" spans="25:25">
      <c r="Y65" s="1330"/>
    </row>
    <row r="66" spans="25:25">
      <c r="Y66" s="1330"/>
    </row>
    <row r="67" spans="25:25">
      <c r="Y67" s="1330"/>
    </row>
    <row r="68" spans="25:25">
      <c r="Y68" s="1330"/>
    </row>
    <row r="69" spans="25:25">
      <c r="Y69" s="1330"/>
    </row>
  </sheetData>
  <mergeCells count="1">
    <mergeCell ref="P4:T4"/>
  </mergeCells>
  <phoneticPr fontId="230" type="noConversion"/>
  <printOptions horizontalCentered="1" verticalCentered="1"/>
  <pageMargins left="0.75" right="0.75" top="1" bottom="1" header="0" footer="0"/>
  <pageSetup paperSize="9" scale="110" orientation="landscape" horizontalDpi="120" verticalDpi="72" r:id="rId1"/>
  <headerFooter alignWithMargins="0"/>
  <drawing r:id="rId2"/>
</worksheet>
</file>

<file path=xl/worksheets/sheet15.xml><?xml version="1.0" encoding="utf-8"?>
<worksheet xmlns="http://schemas.openxmlformats.org/spreadsheetml/2006/main" xmlns:r="http://schemas.openxmlformats.org/officeDocument/2006/relationships">
  <sheetPr codeName="Hoja14"/>
  <dimension ref="A1:U48"/>
  <sheetViews>
    <sheetView workbookViewId="0"/>
  </sheetViews>
  <sheetFormatPr baseColWidth="10" defaultRowHeight="12.75"/>
  <cols>
    <col min="1" max="1" width="5" customWidth="1"/>
    <col min="2" max="2" width="8.42578125" customWidth="1"/>
    <col min="3" max="3" width="38.5703125" customWidth="1"/>
    <col min="5" max="5" width="18.28515625" customWidth="1"/>
    <col min="6" max="6" width="21.28515625" customWidth="1"/>
    <col min="8" max="8" width="8.85546875" style="8" bestFit="1" customWidth="1"/>
    <col min="9" max="9" width="5.5703125" bestFit="1" customWidth="1"/>
    <col min="14" max="14" width="23.5703125" customWidth="1"/>
    <col min="15" max="15" width="16" customWidth="1"/>
    <col min="16" max="16" width="16.7109375" customWidth="1"/>
    <col min="18" max="18" width="15.5703125" customWidth="1"/>
    <col min="21" max="21" width="13.28515625" customWidth="1"/>
  </cols>
  <sheetData>
    <row r="1" spans="1:21">
      <c r="A1" s="427"/>
    </row>
    <row r="2" spans="1:21">
      <c r="Q2" s="3811" t="s">
        <v>3886</v>
      </c>
      <c r="R2" s="3811"/>
      <c r="S2" s="3811"/>
      <c r="T2" s="3811"/>
      <c r="U2" s="3811"/>
    </row>
    <row r="3" spans="1:21">
      <c r="C3" s="900"/>
    </row>
    <row r="4" spans="1:21" ht="14.25">
      <c r="C4" s="900"/>
      <c r="Q4" s="941" t="s">
        <v>1389</v>
      </c>
      <c r="R4" s="305"/>
      <c r="S4" s="305"/>
      <c r="T4" s="305"/>
      <c r="U4" s="83"/>
    </row>
    <row r="5" spans="1:21">
      <c r="C5" s="900"/>
      <c r="Q5" s="77" t="s">
        <v>4935</v>
      </c>
      <c r="R5" s="75"/>
      <c r="S5" s="75"/>
      <c r="T5" s="75"/>
      <c r="U5" s="143"/>
    </row>
    <row r="6" spans="1:21">
      <c r="C6" s="900"/>
      <c r="Q6" s="77"/>
      <c r="R6" s="75" t="s">
        <v>2681</v>
      </c>
      <c r="S6" s="78" t="s">
        <v>4936</v>
      </c>
      <c r="T6" s="75">
        <v>63.55</v>
      </c>
      <c r="U6" s="143"/>
    </row>
    <row r="7" spans="1:21">
      <c r="C7" s="900"/>
      <c r="Q7" s="77"/>
      <c r="R7" s="75" t="s">
        <v>2681</v>
      </c>
      <c r="S7" s="78" t="s">
        <v>4936</v>
      </c>
      <c r="T7" s="75">
        <v>3.55</v>
      </c>
      <c r="U7" s="143"/>
    </row>
    <row r="8" spans="1:21">
      <c r="C8" s="900"/>
      <c r="Q8" s="77" t="s">
        <v>4934</v>
      </c>
      <c r="R8" s="75"/>
      <c r="S8" s="75"/>
      <c r="T8" s="75"/>
      <c r="U8" s="143"/>
    </row>
    <row r="9" spans="1:21">
      <c r="C9" s="900"/>
      <c r="Q9" s="79"/>
      <c r="R9" s="80" t="s">
        <v>2682</v>
      </c>
      <c r="S9" s="940" t="s">
        <v>4936</v>
      </c>
      <c r="T9" s="80">
        <v>177.55</v>
      </c>
      <c r="U9" s="144"/>
    </row>
    <row r="10" spans="1:21">
      <c r="C10" s="900"/>
    </row>
    <row r="11" spans="1:21" ht="14.25">
      <c r="C11" s="900"/>
      <c r="Q11" s="941" t="s">
        <v>3178</v>
      </c>
      <c r="R11" s="305"/>
      <c r="S11" s="305"/>
      <c r="T11" s="305"/>
      <c r="U11" s="83"/>
    </row>
    <row r="12" spans="1:21" ht="14.25">
      <c r="C12" s="900"/>
      <c r="Q12" s="941" t="s">
        <v>2680</v>
      </c>
      <c r="R12" s="305"/>
      <c r="S12" s="305"/>
      <c r="T12" s="305"/>
      <c r="U12" s="83"/>
    </row>
    <row r="13" spans="1:21">
      <c r="C13" s="900"/>
      <c r="Q13" s="139" t="s">
        <v>2683</v>
      </c>
      <c r="R13" s="140"/>
      <c r="S13" s="140"/>
      <c r="T13" s="140"/>
      <c r="U13" s="141"/>
    </row>
    <row r="14" spans="1:21">
      <c r="C14" s="900"/>
      <c r="Q14" s="77"/>
      <c r="R14" s="75" t="s">
        <v>2681</v>
      </c>
      <c r="S14" s="78" t="s">
        <v>4936</v>
      </c>
      <c r="T14" s="75">
        <v>68.52</v>
      </c>
      <c r="U14" s="143"/>
    </row>
    <row r="15" spans="1:21">
      <c r="C15" s="900"/>
      <c r="Q15" s="79"/>
      <c r="R15" s="80" t="s">
        <v>2681</v>
      </c>
      <c r="S15" s="940" t="s">
        <v>4936</v>
      </c>
      <c r="T15" s="80">
        <v>3.55</v>
      </c>
      <c r="U15" s="144"/>
    </row>
    <row r="16" spans="1:21">
      <c r="C16" s="900"/>
    </row>
    <row r="17" spans="1:17">
      <c r="C17" s="900"/>
    </row>
    <row r="20" spans="1:17" ht="25.5">
      <c r="C20" s="902" t="s">
        <v>3096</v>
      </c>
      <c r="D20" s="902" t="s">
        <v>3097</v>
      </c>
      <c r="E20" s="902" t="s">
        <v>3098</v>
      </c>
      <c r="F20" s="902" t="s">
        <v>111</v>
      </c>
    </row>
    <row r="21" spans="1:17" ht="38.25">
      <c r="C21" s="912" t="s">
        <v>1624</v>
      </c>
      <c r="D21" s="912" t="s">
        <v>1625</v>
      </c>
      <c r="E21" s="912" t="s">
        <v>663</v>
      </c>
      <c r="F21" s="912" t="s">
        <v>4925</v>
      </c>
    </row>
    <row r="22" spans="1:17" ht="25.5" customHeight="1">
      <c r="B22" s="96"/>
      <c r="C22" s="3920" t="s">
        <v>3442</v>
      </c>
      <c r="D22" s="3920"/>
      <c r="E22" s="3920"/>
      <c r="F22" s="3920"/>
    </row>
    <row r="23" spans="1:17" ht="25.5">
      <c r="B23" s="909" t="s">
        <v>1940</v>
      </c>
      <c r="C23" s="910" t="s">
        <v>2269</v>
      </c>
      <c r="D23" s="84" t="s">
        <v>3591</v>
      </c>
      <c r="E23" s="911" t="s">
        <v>3443</v>
      </c>
      <c r="F23" s="911" t="s">
        <v>2900</v>
      </c>
      <c r="G23" s="910" t="s">
        <v>1939</v>
      </c>
    </row>
    <row r="24" spans="1:17" ht="18">
      <c r="A24">
        <v>1</v>
      </c>
      <c r="B24" s="309">
        <v>0</v>
      </c>
      <c r="C24" s="468" t="s">
        <v>4230</v>
      </c>
      <c r="D24" s="85" t="s">
        <v>612</v>
      </c>
      <c r="E24" s="9" t="s">
        <v>2898</v>
      </c>
      <c r="F24" s="85" t="s">
        <v>2892</v>
      </c>
      <c r="G24" s="903">
        <v>2004</v>
      </c>
    </row>
    <row r="25" spans="1:17" ht="18">
      <c r="A25">
        <f>1+A24</f>
        <v>2</v>
      </c>
      <c r="B25" s="309">
        <v>1</v>
      </c>
      <c r="C25" s="651" t="s">
        <v>3250</v>
      </c>
      <c r="D25" s="85" t="s">
        <v>2313</v>
      </c>
      <c r="E25" s="9" t="s">
        <v>2898</v>
      </c>
      <c r="F25" s="85" t="s">
        <v>4832</v>
      </c>
      <c r="G25" s="903">
        <v>2000</v>
      </c>
    </row>
    <row r="26" spans="1:17" ht="18">
      <c r="A26">
        <f t="shared" ref="A26:A38" si="0">1+A25</f>
        <v>3</v>
      </c>
      <c r="B26" s="309">
        <v>3</v>
      </c>
      <c r="C26" s="468" t="s">
        <v>4181</v>
      </c>
      <c r="D26" s="85" t="s">
        <v>1979</v>
      </c>
      <c r="E26" s="9" t="s">
        <v>2898</v>
      </c>
      <c r="F26" s="85" t="s">
        <v>3554</v>
      </c>
      <c r="G26" s="903">
        <v>1993</v>
      </c>
    </row>
    <row r="27" spans="1:17" ht="18">
      <c r="A27">
        <f t="shared" si="0"/>
        <v>4</v>
      </c>
      <c r="B27" s="309">
        <v>4</v>
      </c>
      <c r="C27" s="650" t="s">
        <v>2180</v>
      </c>
      <c r="D27" s="85" t="s">
        <v>3252</v>
      </c>
      <c r="E27" s="9" t="s">
        <v>2898</v>
      </c>
      <c r="F27" s="85" t="s">
        <v>4575</v>
      </c>
      <c r="G27" s="903">
        <v>1997</v>
      </c>
      <c r="O27" s="69"/>
    </row>
    <row r="28" spans="1:17" ht="18">
      <c r="A28">
        <f t="shared" si="0"/>
        <v>5</v>
      </c>
      <c r="B28" s="309">
        <v>4</v>
      </c>
      <c r="C28" s="650" t="s">
        <v>2284</v>
      </c>
      <c r="D28" s="85" t="s">
        <v>1978</v>
      </c>
      <c r="E28" s="9" t="s">
        <v>2898</v>
      </c>
      <c r="F28" s="85" t="s">
        <v>4575</v>
      </c>
      <c r="G28" s="903">
        <v>1995</v>
      </c>
      <c r="N28" s="7" t="s">
        <v>1832</v>
      </c>
      <c r="O28" s="9" t="s">
        <v>3791</v>
      </c>
      <c r="P28" s="935">
        <v>71.099999999999994</v>
      </c>
      <c r="Q28">
        <v>71.400000000000006</v>
      </c>
    </row>
    <row r="29" spans="1:17" ht="18">
      <c r="A29">
        <f t="shared" si="0"/>
        <v>6</v>
      </c>
      <c r="B29" s="904">
        <v>5</v>
      </c>
      <c r="C29" s="905" t="s">
        <v>3687</v>
      </c>
      <c r="D29" s="628" t="s">
        <v>3686</v>
      </c>
      <c r="E29" s="631" t="s">
        <v>2898</v>
      </c>
      <c r="F29" s="628" t="s">
        <v>3736</v>
      </c>
      <c r="G29" s="906">
        <v>2007</v>
      </c>
      <c r="H29" s="907" t="s">
        <v>2434</v>
      </c>
      <c r="I29" s="496">
        <f>3+G29</f>
        <v>2010</v>
      </c>
      <c r="J29" s="496" t="s">
        <v>4632</v>
      </c>
      <c r="N29" s="1259" t="s">
        <v>3100</v>
      </c>
      <c r="O29" s="85" t="s">
        <v>3343</v>
      </c>
      <c r="P29" s="627" t="s">
        <v>2377</v>
      </c>
    </row>
    <row r="30" spans="1:17" ht="18">
      <c r="A30">
        <f t="shared" si="0"/>
        <v>7</v>
      </c>
      <c r="B30" s="309">
        <v>5</v>
      </c>
      <c r="C30" s="468" t="s">
        <v>1859</v>
      </c>
      <c r="D30" s="85" t="s">
        <v>2314</v>
      </c>
      <c r="E30" s="9" t="s">
        <v>2898</v>
      </c>
      <c r="F30" s="85" t="s">
        <v>3736</v>
      </c>
      <c r="G30" s="903">
        <v>2004</v>
      </c>
      <c r="N30" s="651" t="s">
        <v>1833</v>
      </c>
      <c r="O30" s="3921">
        <v>40324</v>
      </c>
      <c r="P30" s="3922"/>
    </row>
    <row r="31" spans="1:17" ht="18">
      <c r="A31">
        <f t="shared" si="0"/>
        <v>8</v>
      </c>
      <c r="B31" s="309">
        <v>5</v>
      </c>
      <c r="C31" s="652" t="s">
        <v>1972</v>
      </c>
      <c r="D31" s="649" t="s">
        <v>1973</v>
      </c>
      <c r="E31" s="9" t="s">
        <v>2898</v>
      </c>
      <c r="F31" s="85" t="s">
        <v>3736</v>
      </c>
      <c r="G31" s="903">
        <v>1997</v>
      </c>
      <c r="N31" s="651" t="s">
        <v>711</v>
      </c>
      <c r="O31" s="3921" t="s">
        <v>2303</v>
      </c>
      <c r="P31" s="3922"/>
    </row>
    <row r="32" spans="1:17" ht="18">
      <c r="A32">
        <f t="shared" si="0"/>
        <v>9</v>
      </c>
      <c r="B32" s="309">
        <v>8</v>
      </c>
      <c r="C32" s="468" t="s">
        <v>883</v>
      </c>
      <c r="D32" s="85" t="s">
        <v>2255</v>
      </c>
      <c r="E32" s="9" t="s">
        <v>2898</v>
      </c>
      <c r="F32" s="85" t="s">
        <v>2852</v>
      </c>
      <c r="G32" s="903">
        <v>2003</v>
      </c>
      <c r="N32" s="1226" t="s">
        <v>712</v>
      </c>
      <c r="O32" s="3915" t="s">
        <v>2302</v>
      </c>
      <c r="P32" s="3914"/>
    </row>
    <row r="33" spans="1:16" ht="18">
      <c r="A33">
        <f t="shared" si="0"/>
        <v>10</v>
      </c>
      <c r="B33" s="904">
        <v>8</v>
      </c>
      <c r="C33" s="908" t="s">
        <v>194</v>
      </c>
      <c r="D33" s="628" t="s">
        <v>788</v>
      </c>
      <c r="E33" s="631" t="s">
        <v>2898</v>
      </c>
      <c r="F33" s="628" t="s">
        <v>2852</v>
      </c>
      <c r="G33" s="906">
        <v>2008</v>
      </c>
      <c r="H33" s="907" t="s">
        <v>2434</v>
      </c>
      <c r="I33" s="496">
        <f>3+G33</f>
        <v>2011</v>
      </c>
      <c r="J33" s="496" t="s">
        <v>4632</v>
      </c>
      <c r="N33" s="3918" t="s">
        <v>4231</v>
      </c>
      <c r="O33" s="3919"/>
      <c r="P33" s="3919"/>
    </row>
    <row r="34" spans="1:16" ht="18">
      <c r="A34">
        <f t="shared" si="0"/>
        <v>11</v>
      </c>
      <c r="B34" s="309">
        <v>8</v>
      </c>
      <c r="C34" s="468" t="s">
        <v>2791</v>
      </c>
      <c r="D34" s="85" t="s">
        <v>1576</v>
      </c>
      <c r="E34" s="9" t="s">
        <v>2898</v>
      </c>
      <c r="F34" s="85" t="s">
        <v>2852</v>
      </c>
      <c r="G34" s="903">
        <v>1980</v>
      </c>
      <c r="N34" s="3919"/>
      <c r="O34" s="3919"/>
      <c r="P34" s="3919"/>
    </row>
    <row r="35" spans="1:16" ht="18" customHeight="1">
      <c r="A35">
        <f t="shared" si="0"/>
        <v>12</v>
      </c>
      <c r="B35" s="309">
        <v>8</v>
      </c>
      <c r="C35" s="468" t="s">
        <v>1186</v>
      </c>
      <c r="D35" s="85" t="s">
        <v>1732</v>
      </c>
      <c r="E35" s="9" t="s">
        <v>2898</v>
      </c>
      <c r="F35" s="85" t="s">
        <v>2852</v>
      </c>
      <c r="G35" s="903">
        <v>1967</v>
      </c>
      <c r="N35" s="3919"/>
      <c r="O35" s="3919"/>
      <c r="P35" s="3919"/>
    </row>
    <row r="36" spans="1:16" ht="18">
      <c r="A36">
        <f t="shared" si="0"/>
        <v>13</v>
      </c>
      <c r="B36" s="309">
        <v>9</v>
      </c>
      <c r="C36" s="468" t="s">
        <v>3510</v>
      </c>
      <c r="D36" s="85" t="s">
        <v>3251</v>
      </c>
      <c r="E36" s="9" t="s">
        <v>1639</v>
      </c>
      <c r="F36" s="85" t="s">
        <v>2853</v>
      </c>
      <c r="G36" s="903">
        <v>1992</v>
      </c>
    </row>
    <row r="37" spans="1:16" ht="18">
      <c r="A37">
        <f t="shared" si="0"/>
        <v>14</v>
      </c>
      <c r="B37" s="309">
        <v>0</v>
      </c>
      <c r="C37" s="653" t="s">
        <v>4737</v>
      </c>
      <c r="D37" s="649" t="s">
        <v>4736</v>
      </c>
      <c r="E37" s="9" t="s">
        <v>2899</v>
      </c>
      <c r="F37" s="85" t="s">
        <v>1938</v>
      </c>
      <c r="G37" s="903">
        <v>1996</v>
      </c>
      <c r="N37" s="7" t="s">
        <v>1832</v>
      </c>
      <c r="O37" s="9" t="s">
        <v>3791</v>
      </c>
      <c r="P37" s="935">
        <v>84.7</v>
      </c>
    </row>
    <row r="38" spans="1:16" ht="18">
      <c r="A38">
        <f t="shared" si="0"/>
        <v>15</v>
      </c>
      <c r="B38" s="309">
        <v>6</v>
      </c>
      <c r="C38" s="468" t="s">
        <v>1118</v>
      </c>
      <c r="D38" s="85" t="s">
        <v>1187</v>
      </c>
      <c r="E38" s="9" t="s">
        <v>2899</v>
      </c>
      <c r="F38" s="85" t="s">
        <v>1938</v>
      </c>
      <c r="G38" s="903">
        <v>1997</v>
      </c>
      <c r="N38" s="1259" t="s">
        <v>3100</v>
      </c>
      <c r="O38" s="85" t="s">
        <v>1979</v>
      </c>
      <c r="P38" s="627" t="s">
        <v>2377</v>
      </c>
    </row>
    <row r="39" spans="1:16" ht="14.25">
      <c r="B39" s="2"/>
      <c r="E39" s="900"/>
      <c r="F39" s="472"/>
      <c r="G39" s="897"/>
      <c r="N39" s="651" t="s">
        <v>1833</v>
      </c>
      <c r="O39" s="3921">
        <v>40323</v>
      </c>
      <c r="P39" s="3922"/>
    </row>
    <row r="40" spans="1:16" ht="18">
      <c r="B40" s="309">
        <v>3</v>
      </c>
      <c r="C40" s="899" t="s">
        <v>2375</v>
      </c>
      <c r="D40" s="898" t="s">
        <v>3343</v>
      </c>
      <c r="E40" s="9" t="s">
        <v>2898</v>
      </c>
      <c r="F40" s="85" t="s">
        <v>3554</v>
      </c>
      <c r="G40" s="903">
        <v>1991</v>
      </c>
      <c r="N40" s="651" t="s">
        <v>711</v>
      </c>
      <c r="O40" s="3921" t="s">
        <v>2376</v>
      </c>
      <c r="P40" s="3922"/>
    </row>
    <row r="41" spans="1:16" ht="18">
      <c r="B41" s="309">
        <v>7</v>
      </c>
      <c r="C41" s="899" t="s">
        <v>1941</v>
      </c>
      <c r="D41" s="898" t="s">
        <v>1810</v>
      </c>
      <c r="E41" s="9" t="s">
        <v>2898</v>
      </c>
      <c r="F41" s="85" t="s">
        <v>3025</v>
      </c>
      <c r="G41" s="903">
        <v>1991</v>
      </c>
      <c r="N41" s="1226" t="s">
        <v>712</v>
      </c>
      <c r="O41" s="3915" t="s">
        <v>4960</v>
      </c>
      <c r="P41" s="3914"/>
    </row>
    <row r="42" spans="1:16" ht="18">
      <c r="B42" s="309">
        <v>9</v>
      </c>
      <c r="C42" s="899" t="s">
        <v>1322</v>
      </c>
      <c r="D42" s="898" t="s">
        <v>4633</v>
      </c>
      <c r="E42" s="9" t="s">
        <v>2898</v>
      </c>
      <c r="F42" s="85" t="s">
        <v>2853</v>
      </c>
      <c r="G42" s="903">
        <v>1969</v>
      </c>
      <c r="N42" s="3918" t="s">
        <v>3206</v>
      </c>
      <c r="O42" s="3919"/>
      <c r="P42" s="3919"/>
    </row>
    <row r="43" spans="1:16">
      <c r="E43" s="901"/>
      <c r="N43" s="3919"/>
      <c r="O43" s="3919"/>
      <c r="P43" s="3919"/>
    </row>
    <row r="44" spans="1:16">
      <c r="E44" s="901"/>
      <c r="N44" s="3919"/>
      <c r="O44" s="3919"/>
      <c r="P44" s="3919"/>
    </row>
    <row r="45" spans="1:16">
      <c r="E45" s="901"/>
    </row>
    <row r="46" spans="1:16">
      <c r="E46" s="901"/>
    </row>
    <row r="47" spans="1:16">
      <c r="E47" s="901"/>
    </row>
    <row r="48" spans="1:16">
      <c r="E48" s="901"/>
    </row>
  </sheetData>
  <mergeCells count="10">
    <mergeCell ref="Q2:U2"/>
    <mergeCell ref="O30:P30"/>
    <mergeCell ref="O32:P32"/>
    <mergeCell ref="O31:P31"/>
    <mergeCell ref="O41:P41"/>
    <mergeCell ref="N42:P44"/>
    <mergeCell ref="C22:F22"/>
    <mergeCell ref="N33:P35"/>
    <mergeCell ref="O39:P39"/>
    <mergeCell ref="O40:P40"/>
  </mergeCells>
  <phoneticPr fontId="0" type="noConversion"/>
  <printOptions horizontalCentered="1"/>
  <pageMargins left="0.75" right="0.75" top="0.78740157480314965" bottom="1" header="0" footer="0"/>
  <pageSetup scale="180"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sheetPr codeName="Hoja15"/>
  <dimension ref="A3:AE112"/>
  <sheetViews>
    <sheetView workbookViewId="0"/>
  </sheetViews>
  <sheetFormatPr baseColWidth="10" defaultRowHeight="15" outlineLevelCol="1"/>
  <cols>
    <col min="1" max="1" width="3.42578125" style="757" customWidth="1"/>
    <col min="2" max="2" width="4.7109375" style="757" customWidth="1"/>
    <col min="3" max="3" width="12.5703125" style="757" customWidth="1"/>
    <col min="4" max="4" width="19.5703125" style="757" bestFit="1" customWidth="1"/>
    <col min="5" max="5" width="18" style="757" bestFit="1" customWidth="1"/>
    <col min="6" max="6" width="11.5703125" style="757" hidden="1" customWidth="1" outlineLevel="1"/>
    <col min="7" max="7" width="15.140625" style="757" hidden="1" customWidth="1" outlineLevel="1"/>
    <col min="8" max="8" width="6" style="757" bestFit="1" customWidth="1" collapsed="1"/>
    <col min="9" max="9" width="10.140625" style="759" bestFit="1" customWidth="1"/>
    <col min="10" max="11" width="16.28515625" style="757" hidden="1" customWidth="1" outlineLevel="1"/>
    <col min="12" max="12" width="6" style="757" hidden="1" customWidth="1" outlineLevel="1"/>
    <col min="13" max="13" width="9.28515625" style="757" hidden="1" customWidth="1" outlineLevel="1"/>
    <col min="14" max="16" width="6.5703125" style="757" hidden="1" customWidth="1" outlineLevel="1"/>
    <col min="17" max="21" width="11.42578125" style="757" hidden="1" customWidth="1" outlineLevel="1"/>
    <col min="22" max="22" width="11.42578125" style="757" collapsed="1"/>
    <col min="23" max="29" width="11.42578125" style="757"/>
    <col min="30" max="30" width="15.7109375" style="757" bestFit="1" customWidth="1"/>
    <col min="31" max="16384" width="11.42578125" style="757"/>
  </cols>
  <sheetData>
    <row r="3" spans="2:16">
      <c r="C3" s="758" t="s">
        <v>3404</v>
      </c>
      <c r="D3" s="758"/>
      <c r="E3" s="758"/>
      <c r="F3" s="758"/>
      <c r="G3" s="758"/>
      <c r="H3" s="758"/>
      <c r="I3" s="758"/>
      <c r="J3" s="758"/>
      <c r="K3" s="758"/>
      <c r="L3" s="758"/>
      <c r="M3" s="3923">
        <v>39742</v>
      </c>
      <c r="N3" s="3923"/>
      <c r="O3" s="3923"/>
      <c r="P3" s="3923"/>
    </row>
    <row r="4" spans="2:16" ht="5.45" customHeight="1" thickBot="1"/>
    <row r="5" spans="2:16">
      <c r="B5" s="760"/>
      <c r="C5" s="761" t="s">
        <v>1099</v>
      </c>
      <c r="D5" s="762"/>
      <c r="E5" s="761" t="s">
        <v>5007</v>
      </c>
      <c r="F5" s="761" t="s">
        <v>2269</v>
      </c>
      <c r="G5" s="761" t="s">
        <v>5006</v>
      </c>
      <c r="H5" s="763" t="s">
        <v>950</v>
      </c>
      <c r="I5" s="764" t="s">
        <v>5003</v>
      </c>
      <c r="J5" s="761" t="s">
        <v>950</v>
      </c>
      <c r="K5" s="761"/>
      <c r="L5" s="761" t="s">
        <v>5005</v>
      </c>
      <c r="M5" s="762"/>
      <c r="N5" s="761" t="s">
        <v>1915</v>
      </c>
      <c r="O5" s="762" t="s">
        <v>1916</v>
      </c>
      <c r="P5" s="762" t="s">
        <v>1916</v>
      </c>
    </row>
    <row r="6" spans="2:16" ht="15.75" thickBot="1">
      <c r="B6" s="765" t="s">
        <v>491</v>
      </c>
      <c r="C6" s="766" t="s">
        <v>1835</v>
      </c>
      <c r="D6" s="767" t="s">
        <v>485</v>
      </c>
      <c r="E6" s="766"/>
      <c r="F6" s="766"/>
      <c r="G6" s="766"/>
      <c r="H6" s="768" t="s">
        <v>3231</v>
      </c>
      <c r="I6" s="769" t="s">
        <v>1836</v>
      </c>
      <c r="J6" s="766" t="s">
        <v>1917</v>
      </c>
      <c r="K6" s="766"/>
      <c r="L6" s="766" t="s">
        <v>3230</v>
      </c>
      <c r="M6" s="767" t="s">
        <v>1918</v>
      </c>
      <c r="N6" s="770" t="s">
        <v>473</v>
      </c>
      <c r="O6" s="771">
        <v>1</v>
      </c>
      <c r="P6" s="771">
        <v>2</v>
      </c>
    </row>
    <row r="7" spans="2:16">
      <c r="B7" s="772">
        <v>1</v>
      </c>
      <c r="C7" s="773">
        <v>101</v>
      </c>
      <c r="D7" s="774" t="s">
        <v>59</v>
      </c>
      <c r="E7" s="775" t="s">
        <v>4872</v>
      </c>
      <c r="F7" s="775" t="s">
        <v>3181</v>
      </c>
      <c r="G7" s="776" t="s">
        <v>1928</v>
      </c>
      <c r="H7" s="777">
        <v>3</v>
      </c>
      <c r="I7" s="778" t="s">
        <v>2270</v>
      </c>
      <c r="J7" s="776">
        <v>75945</v>
      </c>
      <c r="K7" s="776"/>
      <c r="L7" s="776">
        <v>1962</v>
      </c>
      <c r="M7" s="779" t="s">
        <v>1929</v>
      </c>
      <c r="N7" s="780" t="s">
        <v>4531</v>
      </c>
      <c r="O7" s="781"/>
      <c r="P7" s="782"/>
    </row>
    <row r="8" spans="2:16">
      <c r="B8" s="783">
        <v>2</v>
      </c>
      <c r="C8" s="784">
        <v>102</v>
      </c>
      <c r="D8" s="785" t="s">
        <v>59</v>
      </c>
      <c r="E8" s="10" t="s">
        <v>4872</v>
      </c>
      <c r="F8" s="10" t="s">
        <v>3181</v>
      </c>
      <c r="G8" s="162" t="s">
        <v>1928</v>
      </c>
      <c r="H8" s="786">
        <v>3</v>
      </c>
      <c r="I8" s="787" t="s">
        <v>3700</v>
      </c>
      <c r="J8" s="162">
        <v>75946</v>
      </c>
      <c r="K8" s="162"/>
      <c r="L8" s="162">
        <v>1962</v>
      </c>
      <c r="M8" s="788" t="s">
        <v>1929</v>
      </c>
      <c r="N8" s="789" t="s">
        <v>4531</v>
      </c>
      <c r="O8" s="790"/>
      <c r="P8" s="791"/>
    </row>
    <row r="9" spans="2:16">
      <c r="B9" s="783">
        <v>3</v>
      </c>
      <c r="C9" s="784">
        <v>103</v>
      </c>
      <c r="D9" s="785" t="s">
        <v>59</v>
      </c>
      <c r="E9" s="10" t="s">
        <v>4872</v>
      </c>
      <c r="F9" s="10" t="s">
        <v>3181</v>
      </c>
      <c r="G9" s="162" t="s">
        <v>1928</v>
      </c>
      <c r="H9" s="786">
        <v>3</v>
      </c>
      <c r="I9" s="787" t="s">
        <v>3701</v>
      </c>
      <c r="J9" s="162">
        <v>75947</v>
      </c>
      <c r="K9" s="162"/>
      <c r="L9" s="162">
        <v>1962</v>
      </c>
      <c r="M9" s="788" t="s">
        <v>1929</v>
      </c>
      <c r="N9" s="789" t="s">
        <v>4531</v>
      </c>
      <c r="O9" s="790"/>
      <c r="P9" s="791"/>
    </row>
    <row r="10" spans="2:16">
      <c r="B10" s="783">
        <v>4</v>
      </c>
      <c r="C10" s="784">
        <v>104</v>
      </c>
      <c r="D10" s="785" t="s">
        <v>59</v>
      </c>
      <c r="E10" s="10" t="s">
        <v>4872</v>
      </c>
      <c r="F10" s="10" t="s">
        <v>3181</v>
      </c>
      <c r="G10" s="162" t="s">
        <v>1928</v>
      </c>
      <c r="H10" s="786">
        <v>3</v>
      </c>
      <c r="I10" s="787" t="s">
        <v>671</v>
      </c>
      <c r="J10" s="162">
        <v>75948</v>
      </c>
      <c r="K10" s="162"/>
      <c r="L10" s="162">
        <v>1962</v>
      </c>
      <c r="M10" s="788" t="s">
        <v>1929</v>
      </c>
      <c r="N10" s="789" t="s">
        <v>4531</v>
      </c>
      <c r="O10" s="790"/>
      <c r="P10" s="791"/>
    </row>
    <row r="11" spans="2:16">
      <c r="B11" s="783">
        <v>5</v>
      </c>
      <c r="C11" s="784">
        <v>105</v>
      </c>
      <c r="D11" s="785" t="s">
        <v>59</v>
      </c>
      <c r="E11" s="10" t="s">
        <v>4872</v>
      </c>
      <c r="F11" s="10" t="s">
        <v>3181</v>
      </c>
      <c r="G11" s="162" t="s">
        <v>4532</v>
      </c>
      <c r="H11" s="786">
        <v>3</v>
      </c>
      <c r="I11" s="787" t="s">
        <v>672</v>
      </c>
      <c r="J11" s="162">
        <v>101117</v>
      </c>
      <c r="K11" s="162"/>
      <c r="L11" s="162">
        <v>1963</v>
      </c>
      <c r="M11" s="788" t="s">
        <v>1929</v>
      </c>
      <c r="N11" s="789" t="s">
        <v>4533</v>
      </c>
      <c r="O11" s="790"/>
      <c r="P11" s="791"/>
    </row>
    <row r="12" spans="2:16">
      <c r="B12" s="783">
        <v>6</v>
      </c>
      <c r="C12" s="792">
        <v>106</v>
      </c>
      <c r="D12" s="793" t="s">
        <v>59</v>
      </c>
      <c r="E12" s="794" t="s">
        <v>4872</v>
      </c>
      <c r="F12" s="794" t="s">
        <v>3181</v>
      </c>
      <c r="G12" s="795" t="s">
        <v>4532</v>
      </c>
      <c r="H12" s="796">
        <v>3</v>
      </c>
      <c r="I12" s="797" t="s">
        <v>3798</v>
      </c>
      <c r="J12" s="795">
        <v>101118</v>
      </c>
      <c r="K12" s="795"/>
      <c r="L12" s="795">
        <v>1963</v>
      </c>
      <c r="M12" s="798" t="s">
        <v>1929</v>
      </c>
      <c r="N12" s="789" t="s">
        <v>3989</v>
      </c>
      <c r="O12" s="790"/>
      <c r="P12" s="791"/>
    </row>
    <row r="13" spans="2:16">
      <c r="B13" s="783">
        <v>7</v>
      </c>
      <c r="C13" s="784">
        <v>107</v>
      </c>
      <c r="D13" s="785" t="s">
        <v>59</v>
      </c>
      <c r="E13" s="10" t="s">
        <v>4872</v>
      </c>
      <c r="F13" s="10" t="s">
        <v>3181</v>
      </c>
      <c r="G13" s="162" t="s">
        <v>4532</v>
      </c>
      <c r="H13" s="786">
        <v>3</v>
      </c>
      <c r="I13" s="787" t="s">
        <v>3799</v>
      </c>
      <c r="J13" s="162">
        <v>101119</v>
      </c>
      <c r="K13" s="162"/>
      <c r="L13" s="162">
        <v>1963</v>
      </c>
      <c r="M13" s="788" t="s">
        <v>1929</v>
      </c>
      <c r="N13" s="789" t="s">
        <v>4531</v>
      </c>
      <c r="O13" s="790"/>
      <c r="P13" s="791"/>
    </row>
    <row r="14" spans="2:16">
      <c r="B14" s="783">
        <v>8</v>
      </c>
      <c r="C14" s="784">
        <v>108</v>
      </c>
      <c r="D14" s="785" t="s">
        <v>59</v>
      </c>
      <c r="E14" s="10" t="s">
        <v>4872</v>
      </c>
      <c r="F14" s="10" t="s">
        <v>3181</v>
      </c>
      <c r="G14" s="162" t="s">
        <v>4532</v>
      </c>
      <c r="H14" s="786">
        <v>3</v>
      </c>
      <c r="I14" s="787" t="s">
        <v>3800</v>
      </c>
      <c r="J14" s="162">
        <v>101120</v>
      </c>
      <c r="K14" s="162"/>
      <c r="L14" s="162">
        <v>1963</v>
      </c>
      <c r="M14" s="788" t="s">
        <v>1929</v>
      </c>
      <c r="N14" s="789" t="s">
        <v>4531</v>
      </c>
      <c r="O14" s="790"/>
      <c r="P14" s="791"/>
    </row>
    <row r="15" spans="2:16">
      <c r="B15" s="783">
        <v>9</v>
      </c>
      <c r="C15" s="784">
        <v>109</v>
      </c>
      <c r="D15" s="785" t="s">
        <v>59</v>
      </c>
      <c r="E15" s="10" t="s">
        <v>4872</v>
      </c>
      <c r="F15" s="10" t="s">
        <v>3181</v>
      </c>
      <c r="G15" s="162" t="s">
        <v>4532</v>
      </c>
      <c r="H15" s="786">
        <v>3</v>
      </c>
      <c r="I15" s="787" t="s">
        <v>4372</v>
      </c>
      <c r="J15" s="162">
        <v>101121</v>
      </c>
      <c r="K15" s="162">
        <v>10231819</v>
      </c>
      <c r="L15" s="162">
        <v>1963</v>
      </c>
      <c r="M15" s="788" t="s">
        <v>1929</v>
      </c>
      <c r="N15" s="789" t="s">
        <v>4531</v>
      </c>
      <c r="O15" s="790"/>
      <c r="P15" s="791"/>
    </row>
    <row r="16" spans="2:16">
      <c r="B16" s="783">
        <v>10</v>
      </c>
      <c r="C16" s="784">
        <v>110</v>
      </c>
      <c r="D16" s="785" t="s">
        <v>59</v>
      </c>
      <c r="E16" s="10" t="s">
        <v>4872</v>
      </c>
      <c r="F16" s="10" t="s">
        <v>3181</v>
      </c>
      <c r="G16" s="162" t="s">
        <v>3990</v>
      </c>
      <c r="H16" s="786">
        <v>3</v>
      </c>
      <c r="I16" s="787" t="s">
        <v>4373</v>
      </c>
      <c r="J16" s="162">
        <v>101122</v>
      </c>
      <c r="K16" s="162"/>
      <c r="L16" s="162">
        <v>1963</v>
      </c>
      <c r="M16" s="788" t="s">
        <v>1929</v>
      </c>
      <c r="N16" s="789" t="s">
        <v>4531</v>
      </c>
      <c r="O16" s="790"/>
      <c r="P16" s="791"/>
    </row>
    <row r="17" spans="1:18">
      <c r="B17" s="783">
        <v>11</v>
      </c>
      <c r="C17" s="784">
        <v>111</v>
      </c>
      <c r="D17" s="785" t="s">
        <v>59</v>
      </c>
      <c r="E17" s="10" t="s">
        <v>4872</v>
      </c>
      <c r="F17" s="10" t="s">
        <v>3181</v>
      </c>
      <c r="G17" s="162" t="s">
        <v>4532</v>
      </c>
      <c r="H17" s="786">
        <v>3</v>
      </c>
      <c r="I17" s="787" t="s">
        <v>4926</v>
      </c>
      <c r="J17" s="162">
        <v>104455</v>
      </c>
      <c r="K17" s="162"/>
      <c r="L17" s="162">
        <v>1965</v>
      </c>
      <c r="M17" s="788" t="s">
        <v>1929</v>
      </c>
      <c r="N17" s="789" t="s">
        <v>4531</v>
      </c>
      <c r="O17" s="790"/>
      <c r="P17" s="791"/>
    </row>
    <row r="18" spans="1:18">
      <c r="B18" s="783">
        <v>12</v>
      </c>
      <c r="C18" s="784">
        <v>112</v>
      </c>
      <c r="D18" s="785" t="s">
        <v>59</v>
      </c>
      <c r="E18" s="10" t="s">
        <v>4872</v>
      </c>
      <c r="F18" s="10" t="s">
        <v>3181</v>
      </c>
      <c r="G18" s="162" t="s">
        <v>4532</v>
      </c>
      <c r="H18" s="786">
        <v>3</v>
      </c>
      <c r="I18" s="787" t="s">
        <v>4927</v>
      </c>
      <c r="J18" s="162">
        <v>14456</v>
      </c>
      <c r="K18" s="162"/>
      <c r="L18" s="162">
        <v>1965</v>
      </c>
      <c r="M18" s="788" t="s">
        <v>1929</v>
      </c>
      <c r="N18" s="789" t="s">
        <v>4531</v>
      </c>
      <c r="O18" s="790"/>
      <c r="P18" s="791"/>
    </row>
    <row r="19" spans="1:18">
      <c r="B19" s="783">
        <v>13</v>
      </c>
      <c r="C19" s="784">
        <v>113</v>
      </c>
      <c r="D19" s="785" t="s">
        <v>59</v>
      </c>
      <c r="E19" s="10" t="s">
        <v>4872</v>
      </c>
      <c r="F19" s="10" t="s">
        <v>3181</v>
      </c>
      <c r="G19" s="162" t="s">
        <v>4532</v>
      </c>
      <c r="H19" s="786">
        <v>3</v>
      </c>
      <c r="I19" s="787" t="s">
        <v>4928</v>
      </c>
      <c r="J19" s="162">
        <v>104457</v>
      </c>
      <c r="K19" s="162"/>
      <c r="L19" s="162">
        <v>1965</v>
      </c>
      <c r="M19" s="788" t="s">
        <v>1929</v>
      </c>
      <c r="N19" s="789" t="s">
        <v>4531</v>
      </c>
      <c r="O19" s="790"/>
      <c r="P19" s="791"/>
    </row>
    <row r="20" spans="1:18">
      <c r="B20" s="783">
        <v>14</v>
      </c>
      <c r="C20" s="784">
        <v>114</v>
      </c>
      <c r="D20" s="785" t="s">
        <v>59</v>
      </c>
      <c r="E20" s="10" t="s">
        <v>4872</v>
      </c>
      <c r="F20" s="10" t="s">
        <v>3181</v>
      </c>
      <c r="G20" s="162" t="s">
        <v>4532</v>
      </c>
      <c r="H20" s="786">
        <v>3</v>
      </c>
      <c r="I20" s="787" t="s">
        <v>1257</v>
      </c>
      <c r="J20" s="162">
        <v>104458</v>
      </c>
      <c r="K20" s="162"/>
      <c r="L20" s="162">
        <v>1965</v>
      </c>
      <c r="M20" s="788" t="s">
        <v>1929</v>
      </c>
      <c r="N20" s="789" t="s">
        <v>4531</v>
      </c>
      <c r="O20" s="790"/>
      <c r="P20" s="791"/>
    </row>
    <row r="21" spans="1:18">
      <c r="B21" s="783">
        <v>15</v>
      </c>
      <c r="C21" s="784">
        <v>115</v>
      </c>
      <c r="D21" s="785" t="s">
        <v>59</v>
      </c>
      <c r="E21" s="10" t="s">
        <v>4872</v>
      </c>
      <c r="F21" s="10" t="s">
        <v>3181</v>
      </c>
      <c r="G21" s="162" t="s">
        <v>4532</v>
      </c>
      <c r="H21" s="786">
        <v>3</v>
      </c>
      <c r="I21" s="787" t="s">
        <v>1258</v>
      </c>
      <c r="J21" s="162">
        <v>104459</v>
      </c>
      <c r="K21" s="162"/>
      <c r="L21" s="162">
        <v>1965</v>
      </c>
      <c r="M21" s="788" t="s">
        <v>1929</v>
      </c>
      <c r="N21" s="789" t="s">
        <v>4531</v>
      </c>
      <c r="O21" s="790"/>
      <c r="P21" s="791"/>
    </row>
    <row r="22" spans="1:18" ht="15.75">
      <c r="A22" s="799"/>
      <c r="B22" s="864">
        <v>16</v>
      </c>
      <c r="C22" s="865">
        <v>116</v>
      </c>
      <c r="D22" s="866" t="s">
        <v>59</v>
      </c>
      <c r="E22" s="867" t="s">
        <v>4872</v>
      </c>
      <c r="F22" s="867" t="s">
        <v>3181</v>
      </c>
      <c r="G22" s="868" t="s">
        <v>4532</v>
      </c>
      <c r="H22" s="876">
        <v>3</v>
      </c>
      <c r="I22" s="870" t="s">
        <v>1259</v>
      </c>
      <c r="J22" s="868">
        <v>104460</v>
      </c>
      <c r="K22" s="868"/>
      <c r="L22" s="868">
        <v>1965</v>
      </c>
      <c r="M22" s="871" t="s">
        <v>1929</v>
      </c>
      <c r="N22" s="872" t="s">
        <v>4531</v>
      </c>
      <c r="O22" s="873"/>
      <c r="P22" s="874"/>
      <c r="Q22" s="875" t="s">
        <v>4563</v>
      </c>
      <c r="R22" s="799"/>
    </row>
    <row r="23" spans="1:18">
      <c r="B23" s="783">
        <v>17</v>
      </c>
      <c r="C23" s="784">
        <v>117</v>
      </c>
      <c r="D23" s="785" t="s">
        <v>59</v>
      </c>
      <c r="E23" s="10" t="s">
        <v>4872</v>
      </c>
      <c r="F23" s="10" t="s">
        <v>3181</v>
      </c>
      <c r="G23" s="162" t="s">
        <v>4532</v>
      </c>
      <c r="H23" s="786">
        <v>3</v>
      </c>
      <c r="I23" s="787" t="s">
        <v>2133</v>
      </c>
      <c r="J23" s="162">
        <v>104461</v>
      </c>
      <c r="K23" s="162"/>
      <c r="L23" s="162">
        <v>1965</v>
      </c>
      <c r="M23" s="788" t="s">
        <v>1929</v>
      </c>
      <c r="N23" s="789" t="s">
        <v>4531</v>
      </c>
      <c r="O23" s="790"/>
      <c r="P23" s="791"/>
    </row>
    <row r="24" spans="1:18">
      <c r="B24" s="783">
        <v>18</v>
      </c>
      <c r="C24" s="784">
        <v>118</v>
      </c>
      <c r="D24" s="785" t="s">
        <v>59</v>
      </c>
      <c r="E24" s="10" t="s">
        <v>4872</v>
      </c>
      <c r="F24" s="10" t="s">
        <v>3181</v>
      </c>
      <c r="G24" s="162" t="s">
        <v>4532</v>
      </c>
      <c r="H24" s="786">
        <v>3</v>
      </c>
      <c r="I24" s="787" t="s">
        <v>4889</v>
      </c>
      <c r="J24" s="162">
        <v>104462</v>
      </c>
      <c r="K24" s="162"/>
      <c r="L24" s="162">
        <v>1965</v>
      </c>
      <c r="M24" s="788" t="s">
        <v>1929</v>
      </c>
      <c r="N24" s="789" t="s">
        <v>4531</v>
      </c>
      <c r="O24" s="790"/>
      <c r="P24" s="791"/>
    </row>
    <row r="25" spans="1:18">
      <c r="B25" s="783">
        <v>19</v>
      </c>
      <c r="C25" s="784">
        <v>119</v>
      </c>
      <c r="D25" s="785" t="s">
        <v>59</v>
      </c>
      <c r="E25" s="10" t="s">
        <v>4872</v>
      </c>
      <c r="F25" s="10" t="s">
        <v>3181</v>
      </c>
      <c r="G25" s="162" t="s">
        <v>4532</v>
      </c>
      <c r="H25" s="786">
        <v>3</v>
      </c>
      <c r="I25" s="787" t="s">
        <v>4890</v>
      </c>
      <c r="J25" s="162">
        <v>104463</v>
      </c>
      <c r="K25" s="162"/>
      <c r="L25" s="162">
        <v>1965</v>
      </c>
      <c r="M25" s="788" t="s">
        <v>1929</v>
      </c>
      <c r="N25" s="789" t="s">
        <v>4531</v>
      </c>
      <c r="O25" s="790"/>
      <c r="P25" s="791"/>
    </row>
    <row r="26" spans="1:18">
      <c r="B26" s="783">
        <v>20</v>
      </c>
      <c r="C26" s="784">
        <v>120</v>
      </c>
      <c r="D26" s="785" t="s">
        <v>59</v>
      </c>
      <c r="E26" s="10" t="s">
        <v>4872</v>
      </c>
      <c r="F26" s="10" t="s">
        <v>3181</v>
      </c>
      <c r="G26" s="162" t="s">
        <v>4532</v>
      </c>
      <c r="H26" s="786">
        <v>3</v>
      </c>
      <c r="I26" s="787" t="s">
        <v>4891</v>
      </c>
      <c r="J26" s="162">
        <v>104464</v>
      </c>
      <c r="K26" s="162"/>
      <c r="L26" s="162">
        <v>1966</v>
      </c>
      <c r="M26" s="788" t="s">
        <v>1929</v>
      </c>
      <c r="N26" s="789" t="s">
        <v>4531</v>
      </c>
      <c r="O26" s="790"/>
      <c r="P26" s="791"/>
    </row>
    <row r="27" spans="1:18">
      <c r="B27" s="783">
        <v>21</v>
      </c>
      <c r="C27" s="784">
        <v>122</v>
      </c>
      <c r="D27" s="785" t="s">
        <v>59</v>
      </c>
      <c r="E27" s="10" t="s">
        <v>4872</v>
      </c>
      <c r="F27" s="10" t="s">
        <v>3181</v>
      </c>
      <c r="G27" s="162" t="s">
        <v>4532</v>
      </c>
      <c r="H27" s="786">
        <v>3</v>
      </c>
      <c r="I27" s="787" t="s">
        <v>1444</v>
      </c>
      <c r="J27" s="162">
        <v>106514</v>
      </c>
      <c r="K27" s="162"/>
      <c r="L27" s="162">
        <v>1966</v>
      </c>
      <c r="M27" s="788" t="s">
        <v>1929</v>
      </c>
      <c r="N27" s="789" t="s">
        <v>4531</v>
      </c>
      <c r="O27" s="790"/>
      <c r="P27" s="791"/>
    </row>
    <row r="28" spans="1:18">
      <c r="B28" s="783">
        <v>22</v>
      </c>
      <c r="C28" s="784">
        <v>123</v>
      </c>
      <c r="D28" s="785" t="s">
        <v>59</v>
      </c>
      <c r="E28" s="10" t="s">
        <v>4872</v>
      </c>
      <c r="F28" s="10" t="s">
        <v>3181</v>
      </c>
      <c r="G28" s="162" t="s">
        <v>4715</v>
      </c>
      <c r="H28" s="786">
        <v>3</v>
      </c>
      <c r="I28" s="787" t="s">
        <v>813</v>
      </c>
      <c r="J28" s="162">
        <v>61894</v>
      </c>
      <c r="K28" s="162"/>
      <c r="L28" s="162">
        <v>1960</v>
      </c>
      <c r="M28" s="788" t="s">
        <v>1929</v>
      </c>
      <c r="N28" s="789" t="s">
        <v>4531</v>
      </c>
      <c r="O28" s="790"/>
      <c r="P28" s="791"/>
    </row>
    <row r="29" spans="1:18">
      <c r="B29" s="783">
        <v>23</v>
      </c>
      <c r="C29" s="784">
        <v>124</v>
      </c>
      <c r="D29" s="785" t="s">
        <v>59</v>
      </c>
      <c r="E29" s="10" t="s">
        <v>4872</v>
      </c>
      <c r="F29" s="10" t="s">
        <v>3181</v>
      </c>
      <c r="G29" s="162" t="s">
        <v>4716</v>
      </c>
      <c r="H29" s="786">
        <v>3</v>
      </c>
      <c r="I29" s="787" t="s">
        <v>814</v>
      </c>
      <c r="J29" s="811" t="s">
        <v>1693</v>
      </c>
      <c r="K29" s="811"/>
      <c r="L29" s="162">
        <v>1985</v>
      </c>
      <c r="M29" s="788" t="s">
        <v>1929</v>
      </c>
      <c r="N29" s="789" t="s">
        <v>4531</v>
      </c>
      <c r="O29" s="790"/>
      <c r="P29" s="791"/>
    </row>
    <row r="30" spans="1:18">
      <c r="B30" s="783">
        <v>24</v>
      </c>
      <c r="C30" s="784">
        <v>151</v>
      </c>
      <c r="D30" s="785" t="s">
        <v>59</v>
      </c>
      <c r="E30" s="10" t="s">
        <v>4872</v>
      </c>
      <c r="F30" s="10" t="s">
        <v>3181</v>
      </c>
      <c r="G30" s="162" t="s">
        <v>3707</v>
      </c>
      <c r="H30" s="786">
        <v>3</v>
      </c>
      <c r="I30" s="787" t="s">
        <v>815</v>
      </c>
      <c r="J30" s="162">
        <v>113914</v>
      </c>
      <c r="K30" s="162"/>
      <c r="L30" s="162">
        <v>1969</v>
      </c>
      <c r="M30" s="788" t="s">
        <v>1929</v>
      </c>
      <c r="N30" s="789" t="s">
        <v>4531</v>
      </c>
      <c r="O30" s="790"/>
      <c r="P30" s="791"/>
    </row>
    <row r="31" spans="1:18">
      <c r="B31" s="783">
        <v>25</v>
      </c>
      <c r="C31" s="784">
        <v>152</v>
      </c>
      <c r="D31" s="785" t="s">
        <v>59</v>
      </c>
      <c r="E31" s="10" t="s">
        <v>4872</v>
      </c>
      <c r="F31" s="10" t="s">
        <v>3181</v>
      </c>
      <c r="G31" s="162" t="s">
        <v>3707</v>
      </c>
      <c r="H31" s="786">
        <v>3</v>
      </c>
      <c r="I31" s="787" t="s">
        <v>816</v>
      </c>
      <c r="J31" s="162">
        <v>113915</v>
      </c>
      <c r="K31" s="162"/>
      <c r="L31" s="162">
        <v>1969</v>
      </c>
      <c r="M31" s="788" t="s">
        <v>1929</v>
      </c>
      <c r="N31" s="789" t="s">
        <v>4531</v>
      </c>
      <c r="O31" s="790"/>
      <c r="P31" s="791"/>
    </row>
    <row r="32" spans="1:18">
      <c r="B32" s="783">
        <v>26</v>
      </c>
      <c r="C32" s="784">
        <v>153</v>
      </c>
      <c r="D32" s="785" t="s">
        <v>59</v>
      </c>
      <c r="E32" s="10" t="s">
        <v>4872</v>
      </c>
      <c r="F32" s="10" t="s">
        <v>3181</v>
      </c>
      <c r="G32" s="162" t="s">
        <v>3707</v>
      </c>
      <c r="H32" s="786">
        <v>3</v>
      </c>
      <c r="I32" s="787" t="s">
        <v>2837</v>
      </c>
      <c r="J32" s="162">
        <v>113916</v>
      </c>
      <c r="K32" s="162"/>
      <c r="L32" s="162">
        <v>1969</v>
      </c>
      <c r="M32" s="788" t="s">
        <v>1929</v>
      </c>
      <c r="N32" s="789" t="s">
        <v>4531</v>
      </c>
      <c r="O32" s="790"/>
      <c r="P32" s="791"/>
    </row>
    <row r="33" spans="1:19">
      <c r="A33" s="799"/>
      <c r="B33" s="800">
        <v>27</v>
      </c>
      <c r="C33" s="801">
        <v>154</v>
      </c>
      <c r="D33" s="802" t="s">
        <v>59</v>
      </c>
      <c r="E33" s="803" t="s">
        <v>4872</v>
      </c>
      <c r="F33" s="803" t="s">
        <v>3181</v>
      </c>
      <c r="G33" s="804" t="s">
        <v>1417</v>
      </c>
      <c r="H33" s="805">
        <v>3</v>
      </c>
      <c r="I33" s="806" t="s">
        <v>1555</v>
      </c>
      <c r="J33" s="804">
        <v>113917</v>
      </c>
      <c r="K33" s="804"/>
      <c r="L33" s="804">
        <v>1969</v>
      </c>
      <c r="M33" s="807" t="s">
        <v>1929</v>
      </c>
      <c r="N33" s="808" t="s">
        <v>4531</v>
      </c>
      <c r="O33" s="809"/>
      <c r="P33" s="810"/>
      <c r="Q33" s="799" t="s">
        <v>3895</v>
      </c>
      <c r="R33" s="799"/>
      <c r="S33" s="812" t="s">
        <v>3202</v>
      </c>
    </row>
    <row r="34" spans="1:19">
      <c r="B34" s="783">
        <v>28</v>
      </c>
      <c r="C34" s="784">
        <v>155</v>
      </c>
      <c r="D34" s="785" t="s">
        <v>59</v>
      </c>
      <c r="E34" s="10" t="s">
        <v>4872</v>
      </c>
      <c r="F34" s="10" t="s">
        <v>3181</v>
      </c>
      <c r="G34" s="162" t="s">
        <v>1417</v>
      </c>
      <c r="H34" s="786">
        <v>3</v>
      </c>
      <c r="I34" s="787" t="s">
        <v>129</v>
      </c>
      <c r="J34" s="162">
        <v>113918</v>
      </c>
      <c r="K34" s="162"/>
      <c r="L34" s="162">
        <v>1969</v>
      </c>
      <c r="M34" s="788" t="s">
        <v>1929</v>
      </c>
      <c r="N34" s="789" t="s">
        <v>4531</v>
      </c>
      <c r="O34" s="790"/>
      <c r="P34" s="791"/>
    </row>
    <row r="35" spans="1:19">
      <c r="B35" s="783">
        <v>29</v>
      </c>
      <c r="C35" s="784">
        <v>156</v>
      </c>
      <c r="D35" s="785" t="s">
        <v>59</v>
      </c>
      <c r="E35" s="10" t="s">
        <v>1854</v>
      </c>
      <c r="F35" s="10" t="s">
        <v>3181</v>
      </c>
      <c r="G35" s="162" t="s">
        <v>1417</v>
      </c>
      <c r="H35" s="786">
        <v>3</v>
      </c>
      <c r="I35" s="787" t="s">
        <v>130</v>
      </c>
      <c r="J35" s="162">
        <v>113919</v>
      </c>
      <c r="K35" s="162"/>
      <c r="L35" s="162">
        <v>1969</v>
      </c>
      <c r="M35" s="788" t="s">
        <v>1929</v>
      </c>
      <c r="N35" s="789" t="s">
        <v>4531</v>
      </c>
      <c r="O35" s="790"/>
      <c r="P35" s="791"/>
    </row>
    <row r="36" spans="1:19">
      <c r="B36" s="783">
        <v>30</v>
      </c>
      <c r="C36" s="784">
        <v>157</v>
      </c>
      <c r="D36" s="785" t="s">
        <v>59</v>
      </c>
      <c r="E36" s="10" t="s">
        <v>4872</v>
      </c>
      <c r="F36" s="10" t="s">
        <v>3181</v>
      </c>
      <c r="G36" s="162" t="s">
        <v>3707</v>
      </c>
      <c r="H36" s="786">
        <v>3</v>
      </c>
      <c r="I36" s="787" t="s">
        <v>131</v>
      </c>
      <c r="J36" s="162">
        <v>113920</v>
      </c>
      <c r="K36" s="162"/>
      <c r="L36" s="162">
        <v>1969</v>
      </c>
      <c r="M36" s="788" t="s">
        <v>1929</v>
      </c>
      <c r="N36" s="789" t="s">
        <v>4531</v>
      </c>
      <c r="O36" s="790"/>
      <c r="P36" s="791"/>
    </row>
    <row r="37" spans="1:19">
      <c r="B37" s="783">
        <v>31</v>
      </c>
      <c r="C37" s="784">
        <v>158</v>
      </c>
      <c r="D37" s="785" t="s">
        <v>59</v>
      </c>
      <c r="E37" s="10" t="s">
        <v>4872</v>
      </c>
      <c r="F37" s="10" t="s">
        <v>3181</v>
      </c>
      <c r="G37" s="162" t="s">
        <v>3707</v>
      </c>
      <c r="H37" s="786">
        <v>3</v>
      </c>
      <c r="I37" s="787" t="s">
        <v>132</v>
      </c>
      <c r="J37" s="162">
        <v>113921</v>
      </c>
      <c r="K37" s="162"/>
      <c r="L37" s="162">
        <v>1969</v>
      </c>
      <c r="M37" s="788" t="s">
        <v>1929</v>
      </c>
      <c r="N37" s="789" t="s">
        <v>4531</v>
      </c>
      <c r="O37" s="790"/>
      <c r="P37" s="791"/>
    </row>
    <row r="38" spans="1:19">
      <c r="B38" s="783">
        <v>32</v>
      </c>
      <c r="C38" s="784">
        <v>159</v>
      </c>
      <c r="D38" s="785" t="s">
        <v>59</v>
      </c>
      <c r="E38" s="10" t="s">
        <v>4872</v>
      </c>
      <c r="F38" s="10" t="s">
        <v>3181</v>
      </c>
      <c r="G38" s="162" t="s">
        <v>1417</v>
      </c>
      <c r="H38" s="786">
        <v>3</v>
      </c>
      <c r="I38" s="787" t="s">
        <v>1115</v>
      </c>
      <c r="J38" s="162">
        <v>113922</v>
      </c>
      <c r="K38" s="162"/>
      <c r="L38" s="162">
        <v>1969</v>
      </c>
      <c r="M38" s="788" t="s">
        <v>1929</v>
      </c>
      <c r="N38" s="789" t="s">
        <v>4531</v>
      </c>
      <c r="O38" s="790"/>
      <c r="P38" s="791"/>
    </row>
    <row r="39" spans="1:19">
      <c r="B39" s="783">
        <v>33</v>
      </c>
      <c r="C39" s="784">
        <v>160</v>
      </c>
      <c r="D39" s="785" t="s">
        <v>59</v>
      </c>
      <c r="E39" s="10" t="s">
        <v>4872</v>
      </c>
      <c r="F39" s="10" t="s">
        <v>3181</v>
      </c>
      <c r="G39" s="162" t="s">
        <v>3707</v>
      </c>
      <c r="H39" s="786">
        <v>3</v>
      </c>
      <c r="I39" s="787" t="s">
        <v>1116</v>
      </c>
      <c r="J39" s="162">
        <v>113923</v>
      </c>
      <c r="K39" s="162"/>
      <c r="L39" s="162">
        <v>1969</v>
      </c>
      <c r="M39" s="788" t="s">
        <v>1929</v>
      </c>
      <c r="N39" s="789" t="s">
        <v>4531</v>
      </c>
      <c r="O39" s="790"/>
      <c r="P39" s="791"/>
    </row>
    <row r="40" spans="1:19">
      <c r="B40" s="783">
        <v>34</v>
      </c>
      <c r="C40" s="784">
        <v>161</v>
      </c>
      <c r="D40" s="785" t="s">
        <v>59</v>
      </c>
      <c r="E40" s="10" t="s">
        <v>4872</v>
      </c>
      <c r="F40" s="10" t="s">
        <v>3181</v>
      </c>
      <c r="G40" s="162" t="s">
        <v>1417</v>
      </c>
      <c r="H40" s="786">
        <v>3</v>
      </c>
      <c r="I40" s="787" t="s">
        <v>1117</v>
      </c>
      <c r="J40" s="162">
        <v>123932</v>
      </c>
      <c r="K40" s="162"/>
      <c r="L40" s="162">
        <v>1972</v>
      </c>
      <c r="M40" s="788" t="s">
        <v>1929</v>
      </c>
      <c r="N40" s="789" t="s">
        <v>4531</v>
      </c>
      <c r="O40" s="790"/>
      <c r="P40" s="791"/>
    </row>
    <row r="41" spans="1:19">
      <c r="B41" s="783">
        <v>35</v>
      </c>
      <c r="C41" s="784">
        <v>162</v>
      </c>
      <c r="D41" s="785" t="s">
        <v>59</v>
      </c>
      <c r="E41" s="10" t="s">
        <v>4872</v>
      </c>
      <c r="F41" s="10" t="s">
        <v>3181</v>
      </c>
      <c r="G41" s="162" t="s">
        <v>1417</v>
      </c>
      <c r="H41" s="786">
        <v>3</v>
      </c>
      <c r="I41" s="787" t="s">
        <v>4654</v>
      </c>
      <c r="J41" s="162">
        <v>113920</v>
      </c>
      <c r="K41" s="162"/>
      <c r="L41" s="162">
        <v>1969</v>
      </c>
      <c r="M41" s="788" t="s">
        <v>1929</v>
      </c>
      <c r="N41" s="789" t="s">
        <v>4531</v>
      </c>
      <c r="O41" s="790"/>
      <c r="P41" s="791"/>
    </row>
    <row r="42" spans="1:19">
      <c r="B42" s="783">
        <v>36</v>
      </c>
      <c r="C42" s="784">
        <v>163</v>
      </c>
      <c r="D42" s="785" t="s">
        <v>59</v>
      </c>
      <c r="E42" s="10" t="s">
        <v>4872</v>
      </c>
      <c r="F42" s="10" t="s">
        <v>3181</v>
      </c>
      <c r="G42" s="162" t="s">
        <v>3707</v>
      </c>
      <c r="H42" s="786">
        <v>3</v>
      </c>
      <c r="I42" s="787" t="s">
        <v>4655</v>
      </c>
      <c r="J42" s="162">
        <v>113920</v>
      </c>
      <c r="K42" s="162"/>
      <c r="L42" s="162">
        <v>1969</v>
      </c>
      <c r="M42" s="788" t="s">
        <v>1929</v>
      </c>
      <c r="N42" s="789" t="s">
        <v>4531</v>
      </c>
      <c r="O42" s="790"/>
      <c r="P42" s="791"/>
    </row>
    <row r="43" spans="1:19">
      <c r="B43" s="783">
        <v>37</v>
      </c>
      <c r="C43" s="784">
        <v>164</v>
      </c>
      <c r="D43" s="785" t="s">
        <v>59</v>
      </c>
      <c r="E43" s="10" t="s">
        <v>1854</v>
      </c>
      <c r="F43" s="10" t="s">
        <v>3181</v>
      </c>
      <c r="G43" s="162" t="s">
        <v>1417</v>
      </c>
      <c r="H43" s="786">
        <v>3</v>
      </c>
      <c r="I43" s="787" t="s">
        <v>4656</v>
      </c>
      <c r="J43" s="162">
        <v>123935</v>
      </c>
      <c r="K43" s="162"/>
      <c r="L43" s="162">
        <v>1969</v>
      </c>
      <c r="M43" s="788" t="s">
        <v>1929</v>
      </c>
      <c r="N43" s="789" t="s">
        <v>4531</v>
      </c>
      <c r="O43" s="790"/>
      <c r="P43" s="791"/>
    </row>
    <row r="44" spans="1:19">
      <c r="B44" s="783">
        <v>38</v>
      </c>
      <c r="C44" s="784">
        <v>165</v>
      </c>
      <c r="D44" s="785" t="s">
        <v>59</v>
      </c>
      <c r="E44" s="10" t="s">
        <v>4872</v>
      </c>
      <c r="F44" s="10" t="s">
        <v>3181</v>
      </c>
      <c r="G44" s="162" t="s">
        <v>1417</v>
      </c>
      <c r="H44" s="786">
        <v>3</v>
      </c>
      <c r="I44" s="787" t="s">
        <v>4657</v>
      </c>
      <c r="J44" s="162">
        <v>123936</v>
      </c>
      <c r="K44" s="162"/>
      <c r="L44" s="162">
        <v>1969</v>
      </c>
      <c r="M44" s="788" t="s">
        <v>1929</v>
      </c>
      <c r="N44" s="789" t="s">
        <v>4531</v>
      </c>
      <c r="O44" s="790"/>
      <c r="P44" s="791"/>
    </row>
    <row r="45" spans="1:19">
      <c r="B45" s="783">
        <v>39</v>
      </c>
      <c r="C45" s="784">
        <v>166</v>
      </c>
      <c r="D45" s="785" t="s">
        <v>59</v>
      </c>
      <c r="E45" s="10" t="s">
        <v>4872</v>
      </c>
      <c r="F45" s="10" t="s">
        <v>3181</v>
      </c>
      <c r="G45" s="162" t="s">
        <v>1417</v>
      </c>
      <c r="H45" s="786">
        <v>3</v>
      </c>
      <c r="I45" s="787" t="s">
        <v>900</v>
      </c>
      <c r="J45" s="162">
        <v>123937</v>
      </c>
      <c r="K45" s="162"/>
      <c r="L45" s="162">
        <v>1972</v>
      </c>
      <c r="M45" s="788" t="s">
        <v>1929</v>
      </c>
      <c r="N45" s="789" t="s">
        <v>4531</v>
      </c>
      <c r="O45" s="790"/>
      <c r="P45" s="791"/>
    </row>
    <row r="46" spans="1:19">
      <c r="B46" s="783">
        <v>40</v>
      </c>
      <c r="C46" s="784">
        <v>167</v>
      </c>
      <c r="D46" s="785" t="s">
        <v>59</v>
      </c>
      <c r="E46" s="10" t="s">
        <v>4872</v>
      </c>
      <c r="F46" s="10" t="s">
        <v>3181</v>
      </c>
      <c r="G46" s="162" t="s">
        <v>1417</v>
      </c>
      <c r="H46" s="786">
        <v>3</v>
      </c>
      <c r="I46" s="787" t="s">
        <v>901</v>
      </c>
      <c r="J46" s="162">
        <v>123938</v>
      </c>
      <c r="K46" s="162"/>
      <c r="L46" s="162">
        <v>1972</v>
      </c>
      <c r="M46" s="788" t="s">
        <v>1929</v>
      </c>
      <c r="N46" s="789" t="s">
        <v>4531</v>
      </c>
      <c r="O46" s="790"/>
      <c r="P46" s="791"/>
    </row>
    <row r="47" spans="1:19">
      <c r="B47" s="783">
        <v>41</v>
      </c>
      <c r="C47" s="784">
        <v>168</v>
      </c>
      <c r="D47" s="785" t="s">
        <v>59</v>
      </c>
      <c r="E47" s="10" t="s">
        <v>4872</v>
      </c>
      <c r="F47" s="10" t="s">
        <v>3181</v>
      </c>
      <c r="G47" s="162" t="s">
        <v>1417</v>
      </c>
      <c r="H47" s="786">
        <v>3</v>
      </c>
      <c r="I47" s="787" t="s">
        <v>902</v>
      </c>
      <c r="J47" s="162">
        <v>123939</v>
      </c>
      <c r="K47" s="162"/>
      <c r="L47" s="162">
        <v>1972</v>
      </c>
      <c r="M47" s="788" t="s">
        <v>1929</v>
      </c>
      <c r="N47" s="789" t="s">
        <v>4531</v>
      </c>
      <c r="O47" s="790"/>
      <c r="P47" s="791"/>
    </row>
    <row r="48" spans="1:19">
      <c r="B48" s="783">
        <v>42</v>
      </c>
      <c r="C48" s="784">
        <v>169</v>
      </c>
      <c r="D48" s="785" t="s">
        <v>59</v>
      </c>
      <c r="E48" s="10" t="s">
        <v>4872</v>
      </c>
      <c r="F48" s="10" t="s">
        <v>3181</v>
      </c>
      <c r="G48" s="162" t="s">
        <v>1417</v>
      </c>
      <c r="H48" s="786">
        <v>3</v>
      </c>
      <c r="I48" s="787" t="s">
        <v>903</v>
      </c>
      <c r="J48" s="162">
        <v>123940</v>
      </c>
      <c r="K48" s="162"/>
      <c r="L48" s="162">
        <v>1972</v>
      </c>
      <c r="M48" s="788" t="s">
        <v>1929</v>
      </c>
      <c r="N48" s="789" t="s">
        <v>4531</v>
      </c>
      <c r="O48" s="790"/>
      <c r="P48" s="791"/>
    </row>
    <row r="49" spans="1:31" ht="15.75" thickBot="1">
      <c r="B49" s="813">
        <v>43</v>
      </c>
      <c r="C49" s="814">
        <v>170</v>
      </c>
      <c r="D49" s="815" t="s">
        <v>59</v>
      </c>
      <c r="E49" s="816" t="s">
        <v>4872</v>
      </c>
      <c r="F49" s="816" t="s">
        <v>3181</v>
      </c>
      <c r="G49" s="817" t="s">
        <v>1417</v>
      </c>
      <c r="H49" s="818">
        <v>3</v>
      </c>
      <c r="I49" s="819" t="s">
        <v>904</v>
      </c>
      <c r="J49" s="817">
        <v>123941</v>
      </c>
      <c r="K49" s="817"/>
      <c r="L49" s="817">
        <v>1972</v>
      </c>
      <c r="M49" s="820" t="s">
        <v>1929</v>
      </c>
      <c r="N49" s="789" t="s">
        <v>4531</v>
      </c>
      <c r="O49" s="790"/>
      <c r="P49" s="791"/>
    </row>
    <row r="50" spans="1:31" ht="15.75" thickTop="1">
      <c r="B50" s="821">
        <v>44</v>
      </c>
      <c r="C50" s="997">
        <v>200</v>
      </c>
      <c r="D50" s="822" t="s">
        <v>3232</v>
      </c>
      <c r="E50" s="823" t="s">
        <v>1855</v>
      </c>
      <c r="F50" s="823" t="s">
        <v>1856</v>
      </c>
      <c r="G50" s="824" t="s">
        <v>2895</v>
      </c>
      <c r="H50" s="825">
        <v>3</v>
      </c>
      <c r="I50" s="826" t="s">
        <v>1269</v>
      </c>
      <c r="J50" s="823" t="s">
        <v>4328</v>
      </c>
      <c r="K50" s="823"/>
      <c r="L50" s="824">
        <v>1993</v>
      </c>
      <c r="M50" s="827" t="s">
        <v>4329</v>
      </c>
      <c r="N50" s="789" t="s">
        <v>4531</v>
      </c>
      <c r="O50" s="790"/>
      <c r="P50" s="791"/>
      <c r="U50" s="757">
        <v>1</v>
      </c>
      <c r="V50" s="757">
        <v>200</v>
      </c>
      <c r="W50" s="757" t="s">
        <v>3232</v>
      </c>
      <c r="X50" s="757" t="s">
        <v>1855</v>
      </c>
      <c r="Y50" s="757" t="s">
        <v>1856</v>
      </c>
      <c r="Z50" s="757" t="s">
        <v>2895</v>
      </c>
      <c r="AA50" s="757">
        <v>3</v>
      </c>
      <c r="AB50" s="1002" t="s">
        <v>1269</v>
      </c>
      <c r="AC50" s="757" t="s">
        <v>2761</v>
      </c>
      <c r="AD50" s="757">
        <v>1993</v>
      </c>
      <c r="AE50" s="757" t="s">
        <v>4329</v>
      </c>
    </row>
    <row r="51" spans="1:31">
      <c r="B51" s="783">
        <v>45</v>
      </c>
      <c r="C51" s="998">
        <v>201</v>
      </c>
      <c r="D51" s="785" t="s">
        <v>3232</v>
      </c>
      <c r="E51" s="10" t="s">
        <v>1855</v>
      </c>
      <c r="F51" s="10" t="s">
        <v>3233</v>
      </c>
      <c r="G51" s="162" t="s">
        <v>2895</v>
      </c>
      <c r="H51" s="828">
        <v>3</v>
      </c>
      <c r="I51" s="787" t="s">
        <v>58</v>
      </c>
      <c r="J51" s="10" t="s">
        <v>4328</v>
      </c>
      <c r="K51" s="10"/>
      <c r="L51" s="162">
        <v>1993</v>
      </c>
      <c r="M51" s="788" t="s">
        <v>4329</v>
      </c>
      <c r="N51" s="789" t="s">
        <v>4531</v>
      </c>
      <c r="O51" s="790"/>
      <c r="P51" s="791"/>
      <c r="U51" s="757">
        <v>2</v>
      </c>
      <c r="V51" s="757">
        <v>201</v>
      </c>
      <c r="W51" s="757" t="s">
        <v>3232</v>
      </c>
      <c r="X51" s="757" t="s">
        <v>1855</v>
      </c>
      <c r="Y51" s="757" t="s">
        <v>3233</v>
      </c>
      <c r="Z51" s="757" t="s">
        <v>2895</v>
      </c>
      <c r="AA51" s="757">
        <v>3</v>
      </c>
      <c r="AB51" s="1002" t="s">
        <v>58</v>
      </c>
      <c r="AC51" s="757" t="s">
        <v>4328</v>
      </c>
      <c r="AD51" s="757">
        <v>1993</v>
      </c>
      <c r="AE51" s="757" t="s">
        <v>4329</v>
      </c>
    </row>
    <row r="52" spans="1:31">
      <c r="B52" s="783">
        <v>46</v>
      </c>
      <c r="C52" s="998">
        <v>202</v>
      </c>
      <c r="D52" s="785" t="s">
        <v>3232</v>
      </c>
      <c r="E52" s="10" t="s">
        <v>1855</v>
      </c>
      <c r="F52" s="10" t="s">
        <v>3233</v>
      </c>
      <c r="G52" s="162" t="s">
        <v>2895</v>
      </c>
      <c r="H52" s="828">
        <v>3</v>
      </c>
      <c r="I52" s="787" t="s">
        <v>861</v>
      </c>
      <c r="J52" s="10" t="s">
        <v>4330</v>
      </c>
      <c r="K52" s="10"/>
      <c r="L52" s="162">
        <v>1993</v>
      </c>
      <c r="M52" s="788" t="s">
        <v>4329</v>
      </c>
      <c r="N52" s="789" t="s">
        <v>4531</v>
      </c>
      <c r="O52" s="790"/>
      <c r="P52" s="791"/>
      <c r="U52" s="757">
        <v>3</v>
      </c>
      <c r="V52" s="757">
        <v>202</v>
      </c>
      <c r="W52" s="757" t="s">
        <v>3232</v>
      </c>
      <c r="X52" s="757" t="s">
        <v>1855</v>
      </c>
      <c r="Y52" s="757" t="s">
        <v>3233</v>
      </c>
      <c r="Z52" s="757" t="s">
        <v>2895</v>
      </c>
      <c r="AA52" s="757">
        <v>3</v>
      </c>
      <c r="AB52" s="1002" t="s">
        <v>861</v>
      </c>
      <c r="AC52" s="757" t="s">
        <v>4330</v>
      </c>
      <c r="AD52" s="757">
        <v>1993</v>
      </c>
      <c r="AE52" s="757" t="s">
        <v>4329</v>
      </c>
    </row>
    <row r="53" spans="1:31">
      <c r="B53" s="783">
        <v>47</v>
      </c>
      <c r="C53" s="998">
        <v>204</v>
      </c>
      <c r="D53" s="785" t="s">
        <v>3232</v>
      </c>
      <c r="E53" s="10" t="s">
        <v>1855</v>
      </c>
      <c r="F53" s="10" t="s">
        <v>3233</v>
      </c>
      <c r="G53" s="162" t="s">
        <v>2895</v>
      </c>
      <c r="H53" s="828">
        <v>3</v>
      </c>
      <c r="I53" s="787" t="s">
        <v>2666</v>
      </c>
      <c r="J53" s="10" t="s">
        <v>47</v>
      </c>
      <c r="K53" s="10"/>
      <c r="L53" s="162">
        <v>1993</v>
      </c>
      <c r="M53" s="788" t="s">
        <v>4329</v>
      </c>
      <c r="N53" s="789" t="s">
        <v>4531</v>
      </c>
      <c r="O53" s="790"/>
      <c r="P53" s="791"/>
      <c r="U53" s="757">
        <v>4</v>
      </c>
      <c r="V53" s="757">
        <v>204</v>
      </c>
      <c r="W53" s="757" t="s">
        <v>3232</v>
      </c>
      <c r="X53" s="757" t="s">
        <v>1855</v>
      </c>
      <c r="Y53" s="757" t="s">
        <v>3233</v>
      </c>
      <c r="Z53" s="757" t="s">
        <v>2895</v>
      </c>
      <c r="AA53" s="757">
        <v>3</v>
      </c>
      <c r="AB53" s="1002" t="s">
        <v>2666</v>
      </c>
      <c r="AC53" s="757" t="s">
        <v>47</v>
      </c>
      <c r="AD53" s="757">
        <v>1993</v>
      </c>
      <c r="AE53" s="757" t="s">
        <v>4329</v>
      </c>
    </row>
    <row r="54" spans="1:31">
      <c r="B54" s="783">
        <v>48</v>
      </c>
      <c r="C54" s="784">
        <v>205</v>
      </c>
      <c r="D54" s="785" t="s">
        <v>3232</v>
      </c>
      <c r="E54" s="10" t="s">
        <v>1855</v>
      </c>
      <c r="F54" s="10" t="s">
        <v>3233</v>
      </c>
      <c r="G54" s="162" t="s">
        <v>2895</v>
      </c>
      <c r="H54" s="828">
        <v>3</v>
      </c>
      <c r="I54" s="787" t="s">
        <v>57</v>
      </c>
      <c r="J54" s="10" t="s">
        <v>2082</v>
      </c>
      <c r="K54" s="10"/>
      <c r="L54" s="162">
        <v>1993</v>
      </c>
      <c r="M54" s="788" t="s">
        <v>4329</v>
      </c>
      <c r="N54" s="789" t="s">
        <v>4531</v>
      </c>
      <c r="O54" s="790"/>
      <c r="P54" s="791"/>
      <c r="U54" s="757">
        <v>5</v>
      </c>
      <c r="V54" s="1002">
        <v>205</v>
      </c>
      <c r="W54" s="1003" t="s">
        <v>2726</v>
      </c>
      <c r="X54" s="1002"/>
      <c r="Y54" s="1002"/>
      <c r="Z54" s="1002"/>
      <c r="AA54" s="757">
        <v>3</v>
      </c>
      <c r="AB54" s="1002" t="s">
        <v>57</v>
      </c>
    </row>
    <row r="55" spans="1:31">
      <c r="B55" s="783">
        <v>49</v>
      </c>
      <c r="C55" s="998">
        <v>207</v>
      </c>
      <c r="D55" s="785" t="s">
        <v>3232</v>
      </c>
      <c r="E55" s="10" t="s">
        <v>1855</v>
      </c>
      <c r="F55" s="10" t="s">
        <v>3233</v>
      </c>
      <c r="G55" s="162" t="s">
        <v>2895</v>
      </c>
      <c r="H55" s="828">
        <v>3</v>
      </c>
      <c r="I55" s="787" t="s">
        <v>1270</v>
      </c>
      <c r="J55" s="10" t="s">
        <v>2494</v>
      </c>
      <c r="K55" s="10"/>
      <c r="L55" s="162">
        <v>1993</v>
      </c>
      <c r="M55" s="788" t="s">
        <v>4329</v>
      </c>
      <c r="N55" s="789" t="s">
        <v>4531</v>
      </c>
      <c r="O55" s="790"/>
      <c r="P55" s="791"/>
      <c r="U55" s="757">
        <v>6</v>
      </c>
      <c r="V55" s="757">
        <v>207</v>
      </c>
      <c r="W55" s="757" t="s">
        <v>3232</v>
      </c>
      <c r="X55" s="757" t="s">
        <v>1855</v>
      </c>
      <c r="Y55" s="757" t="s">
        <v>3233</v>
      </c>
      <c r="Z55" s="757" t="s">
        <v>2895</v>
      </c>
      <c r="AA55" s="757">
        <v>3</v>
      </c>
      <c r="AB55" s="1002" t="s">
        <v>1270</v>
      </c>
      <c r="AC55" s="757" t="s">
        <v>2494</v>
      </c>
      <c r="AD55" s="757">
        <v>1993</v>
      </c>
      <c r="AE55" s="757" t="s">
        <v>4329</v>
      </c>
    </row>
    <row r="56" spans="1:31">
      <c r="B56" s="783">
        <v>50</v>
      </c>
      <c r="C56" s="998">
        <v>209</v>
      </c>
      <c r="D56" s="785" t="s">
        <v>3232</v>
      </c>
      <c r="E56" s="10" t="s">
        <v>1855</v>
      </c>
      <c r="F56" s="10" t="s">
        <v>3233</v>
      </c>
      <c r="G56" s="162" t="s">
        <v>2895</v>
      </c>
      <c r="H56" s="828">
        <v>3</v>
      </c>
      <c r="I56" s="787" t="s">
        <v>4323</v>
      </c>
      <c r="J56" s="10" t="s">
        <v>3006</v>
      </c>
      <c r="K56" s="10"/>
      <c r="L56" s="162">
        <v>1993</v>
      </c>
      <c r="M56" s="788" t="s">
        <v>4329</v>
      </c>
      <c r="N56" s="789" t="s">
        <v>4531</v>
      </c>
      <c r="O56" s="790"/>
      <c r="P56" s="791"/>
      <c r="U56" s="757">
        <v>7</v>
      </c>
      <c r="V56" s="757">
        <v>209</v>
      </c>
      <c r="W56" s="757" t="s">
        <v>3232</v>
      </c>
      <c r="X56" s="757" t="s">
        <v>1855</v>
      </c>
      <c r="Y56" s="757" t="s">
        <v>3233</v>
      </c>
      <c r="Z56" s="757" t="s">
        <v>2895</v>
      </c>
      <c r="AA56" s="757">
        <v>3</v>
      </c>
      <c r="AB56" s="1002" t="s">
        <v>4323</v>
      </c>
      <c r="AC56" s="757" t="s">
        <v>3006</v>
      </c>
      <c r="AD56" s="757">
        <v>1993</v>
      </c>
      <c r="AE56" s="757" t="s">
        <v>4329</v>
      </c>
    </row>
    <row r="57" spans="1:31">
      <c r="B57" s="783">
        <v>51</v>
      </c>
      <c r="C57" s="998">
        <v>210</v>
      </c>
      <c r="D57" s="785" t="s">
        <v>3232</v>
      </c>
      <c r="E57" s="10" t="s">
        <v>1855</v>
      </c>
      <c r="F57" s="10" t="s">
        <v>3233</v>
      </c>
      <c r="G57" s="162" t="s">
        <v>2895</v>
      </c>
      <c r="H57" s="828">
        <v>3</v>
      </c>
      <c r="I57" s="787" t="s">
        <v>3007</v>
      </c>
      <c r="J57" s="10" t="s">
        <v>3673</v>
      </c>
      <c r="K57" s="10"/>
      <c r="L57" s="162">
        <v>1993</v>
      </c>
      <c r="M57" s="788" t="s">
        <v>4329</v>
      </c>
      <c r="N57" s="789" t="s">
        <v>4531</v>
      </c>
      <c r="O57" s="790"/>
      <c r="P57" s="791"/>
      <c r="U57" s="757">
        <v>8</v>
      </c>
      <c r="V57" s="757">
        <v>210</v>
      </c>
      <c r="W57" s="757" t="s">
        <v>3232</v>
      </c>
      <c r="X57" s="757" t="s">
        <v>1855</v>
      </c>
      <c r="Y57" s="757" t="s">
        <v>3233</v>
      </c>
      <c r="Z57" s="757" t="s">
        <v>2895</v>
      </c>
      <c r="AA57" s="757">
        <v>3</v>
      </c>
      <c r="AB57" s="1002" t="s">
        <v>3007</v>
      </c>
      <c r="AC57" s="757" t="s">
        <v>3673</v>
      </c>
      <c r="AD57" s="757">
        <v>1993</v>
      </c>
      <c r="AE57" s="757" t="s">
        <v>4329</v>
      </c>
    </row>
    <row r="58" spans="1:31">
      <c r="A58" s="829"/>
      <c r="B58" s="830">
        <v>52</v>
      </c>
      <c r="C58" s="999">
        <v>213</v>
      </c>
      <c r="D58" s="793" t="s">
        <v>3232</v>
      </c>
      <c r="E58" s="794" t="s">
        <v>1855</v>
      </c>
      <c r="F58" s="794" t="s">
        <v>3233</v>
      </c>
      <c r="G58" s="795" t="s">
        <v>2895</v>
      </c>
      <c r="H58" s="831">
        <v>2</v>
      </c>
      <c r="I58" s="832" t="s">
        <v>4361</v>
      </c>
      <c r="J58" s="794" t="s">
        <v>62</v>
      </c>
      <c r="K58" s="794"/>
      <c r="L58" s="795">
        <v>1993</v>
      </c>
      <c r="M58" s="798" t="s">
        <v>4329</v>
      </c>
      <c r="N58" s="833" t="s">
        <v>4531</v>
      </c>
      <c r="O58" s="834"/>
      <c r="P58" s="835"/>
      <c r="Q58" s="829" t="s">
        <v>4452</v>
      </c>
      <c r="U58" s="757">
        <v>9</v>
      </c>
      <c r="V58" s="757">
        <v>213</v>
      </c>
      <c r="W58" s="757" t="s">
        <v>3232</v>
      </c>
      <c r="X58" s="757" t="s">
        <v>1855</v>
      </c>
      <c r="Y58" s="757" t="s">
        <v>3233</v>
      </c>
      <c r="Z58" s="757" t="s">
        <v>2762</v>
      </c>
      <c r="AA58" s="757">
        <v>2</v>
      </c>
      <c r="AB58" s="1002" t="s">
        <v>4361</v>
      </c>
      <c r="AC58" s="757" t="s">
        <v>62</v>
      </c>
      <c r="AD58" s="757">
        <v>1993</v>
      </c>
      <c r="AE58" s="757" t="s">
        <v>4329</v>
      </c>
    </row>
    <row r="59" spans="1:31">
      <c r="B59" s="783">
        <v>53</v>
      </c>
      <c r="C59" s="998">
        <v>214</v>
      </c>
      <c r="D59" s="785" t="s">
        <v>3232</v>
      </c>
      <c r="E59" s="10" t="s">
        <v>1855</v>
      </c>
      <c r="F59" s="10" t="s">
        <v>3233</v>
      </c>
      <c r="G59" s="162" t="s">
        <v>2895</v>
      </c>
      <c r="H59" s="828">
        <v>2</v>
      </c>
      <c r="I59" s="787" t="s">
        <v>4364</v>
      </c>
      <c r="J59" s="10" t="s">
        <v>4453</v>
      </c>
      <c r="K59" s="10"/>
      <c r="L59" s="162">
        <v>1993</v>
      </c>
      <c r="M59" s="788" t="s">
        <v>4329</v>
      </c>
      <c r="N59" s="789" t="s">
        <v>4531</v>
      </c>
      <c r="O59" s="790"/>
      <c r="P59" s="791"/>
      <c r="Q59" s="799" t="s">
        <v>3895</v>
      </c>
      <c r="U59" s="757">
        <v>10</v>
      </c>
      <c r="V59" s="757">
        <v>214</v>
      </c>
      <c r="W59" s="757" t="s">
        <v>3232</v>
      </c>
      <c r="X59" s="757" t="s">
        <v>1855</v>
      </c>
      <c r="Y59" s="757" t="s">
        <v>3233</v>
      </c>
      <c r="Z59" s="757" t="s">
        <v>2762</v>
      </c>
      <c r="AA59" s="757">
        <v>2</v>
      </c>
      <c r="AB59" s="1002" t="s">
        <v>4364</v>
      </c>
      <c r="AC59" s="757" t="s">
        <v>4453</v>
      </c>
      <c r="AD59" s="757">
        <v>1993</v>
      </c>
      <c r="AE59" s="757" t="s">
        <v>4329</v>
      </c>
    </row>
    <row r="60" spans="1:31">
      <c r="B60" s="800">
        <v>54</v>
      </c>
      <c r="C60" s="1000">
        <v>215</v>
      </c>
      <c r="D60" s="802" t="s">
        <v>3232</v>
      </c>
      <c r="E60" s="803" t="s">
        <v>1855</v>
      </c>
      <c r="F60" s="803" t="s">
        <v>3233</v>
      </c>
      <c r="G60" s="804" t="s">
        <v>2895</v>
      </c>
      <c r="H60" s="836">
        <v>2</v>
      </c>
      <c r="I60" s="806" t="s">
        <v>4360</v>
      </c>
      <c r="J60" s="803" t="s">
        <v>835</v>
      </c>
      <c r="K60" s="803"/>
      <c r="L60" s="804">
        <v>1993</v>
      </c>
      <c r="M60" s="807" t="s">
        <v>4329</v>
      </c>
      <c r="N60" s="808" t="s">
        <v>4531</v>
      </c>
      <c r="O60" s="809"/>
      <c r="P60" s="810"/>
      <c r="Q60" s="799" t="s">
        <v>3895</v>
      </c>
      <c r="R60" s="799"/>
      <c r="S60" s="812" t="s">
        <v>3202</v>
      </c>
      <c r="U60" s="757">
        <v>11</v>
      </c>
      <c r="V60" s="757">
        <v>215</v>
      </c>
      <c r="W60" s="757" t="s">
        <v>3232</v>
      </c>
      <c r="X60" s="757" t="s">
        <v>1855</v>
      </c>
      <c r="Y60" s="757" t="s">
        <v>3233</v>
      </c>
      <c r="Z60" s="757" t="s">
        <v>2895</v>
      </c>
      <c r="AA60" s="757">
        <v>2</v>
      </c>
      <c r="AB60" s="1002" t="s">
        <v>4360</v>
      </c>
      <c r="AC60" s="757" t="s">
        <v>835</v>
      </c>
      <c r="AD60" s="757">
        <v>1994</v>
      </c>
      <c r="AE60" s="757" t="s">
        <v>4329</v>
      </c>
    </row>
    <row r="61" spans="1:31">
      <c r="B61" s="783">
        <v>55</v>
      </c>
      <c r="C61" s="998">
        <v>216</v>
      </c>
      <c r="D61" s="785" t="s">
        <v>3232</v>
      </c>
      <c r="E61" s="10" t="s">
        <v>1855</v>
      </c>
      <c r="F61" s="10" t="s">
        <v>3233</v>
      </c>
      <c r="G61" s="162" t="s">
        <v>2895</v>
      </c>
      <c r="H61" s="828">
        <v>3</v>
      </c>
      <c r="I61" s="787" t="s">
        <v>4204</v>
      </c>
      <c r="J61" s="10" t="s">
        <v>4205</v>
      </c>
      <c r="K61" s="10"/>
      <c r="L61" s="162">
        <v>1994</v>
      </c>
      <c r="M61" s="788" t="s">
        <v>4329</v>
      </c>
      <c r="N61" s="789" t="s">
        <v>4531</v>
      </c>
      <c r="O61" s="790"/>
      <c r="P61" s="791"/>
      <c r="U61" s="757">
        <v>12</v>
      </c>
      <c r="V61" s="757">
        <v>216</v>
      </c>
      <c r="W61" s="757" t="s">
        <v>3232</v>
      </c>
      <c r="X61" s="757" t="s">
        <v>1855</v>
      </c>
      <c r="Y61" s="757" t="s">
        <v>3233</v>
      </c>
      <c r="Z61" s="757" t="s">
        <v>2895</v>
      </c>
      <c r="AA61" s="757">
        <v>3</v>
      </c>
      <c r="AB61" s="1002" t="s">
        <v>4204</v>
      </c>
      <c r="AC61" s="757" t="s">
        <v>4205</v>
      </c>
      <c r="AD61" s="757">
        <v>1994</v>
      </c>
      <c r="AE61" s="757" t="s">
        <v>4329</v>
      </c>
    </row>
    <row r="62" spans="1:31">
      <c r="B62" s="783">
        <v>56</v>
      </c>
      <c r="C62" s="998">
        <v>217</v>
      </c>
      <c r="D62" s="785" t="s">
        <v>3232</v>
      </c>
      <c r="E62" s="10" t="s">
        <v>1855</v>
      </c>
      <c r="F62" s="10" t="s">
        <v>3233</v>
      </c>
      <c r="G62" s="162" t="s">
        <v>2895</v>
      </c>
      <c r="H62" s="828">
        <v>3</v>
      </c>
      <c r="I62" s="787" t="s">
        <v>1097</v>
      </c>
      <c r="J62" s="10" t="s">
        <v>4206</v>
      </c>
      <c r="K62" s="10"/>
      <c r="L62" s="162">
        <v>1994</v>
      </c>
      <c r="M62" s="788" t="s">
        <v>4329</v>
      </c>
      <c r="N62" s="789" t="s">
        <v>4531</v>
      </c>
      <c r="O62" s="790"/>
      <c r="P62" s="791"/>
      <c r="U62" s="757">
        <v>13</v>
      </c>
      <c r="V62" s="757">
        <v>217</v>
      </c>
      <c r="W62" s="757" t="s">
        <v>3232</v>
      </c>
      <c r="X62" s="757" t="s">
        <v>1855</v>
      </c>
      <c r="Y62" s="757" t="s">
        <v>3233</v>
      </c>
      <c r="Z62" s="757" t="s">
        <v>2895</v>
      </c>
      <c r="AA62" s="757">
        <v>3</v>
      </c>
      <c r="AB62" s="1002" t="s">
        <v>1097</v>
      </c>
      <c r="AC62" s="757" t="s">
        <v>4206</v>
      </c>
      <c r="AD62" s="757">
        <v>1994</v>
      </c>
      <c r="AE62" s="757" t="s">
        <v>4329</v>
      </c>
    </row>
    <row r="63" spans="1:31" ht="15.75">
      <c r="A63" s="799"/>
      <c r="B63" s="864">
        <v>57</v>
      </c>
      <c r="C63" s="1001">
        <v>218</v>
      </c>
      <c r="D63" s="866" t="s">
        <v>3232</v>
      </c>
      <c r="E63" s="867" t="s">
        <v>1855</v>
      </c>
      <c r="F63" s="867" t="s">
        <v>3233</v>
      </c>
      <c r="G63" s="868" t="s">
        <v>2895</v>
      </c>
      <c r="H63" s="869">
        <v>3</v>
      </c>
      <c r="I63" s="870" t="s">
        <v>3753</v>
      </c>
      <c r="J63" s="867" t="s">
        <v>4795</v>
      </c>
      <c r="K63" s="867"/>
      <c r="L63" s="868">
        <v>1994</v>
      </c>
      <c r="M63" s="871" t="s">
        <v>4329</v>
      </c>
      <c r="N63" s="872" t="s">
        <v>4531</v>
      </c>
      <c r="O63" s="873"/>
      <c r="P63" s="874"/>
      <c r="Q63" s="875" t="s">
        <v>4563</v>
      </c>
      <c r="R63" s="799"/>
      <c r="U63" s="757">
        <v>14</v>
      </c>
      <c r="V63" s="757">
        <v>218</v>
      </c>
      <c r="W63" s="757" t="s">
        <v>3232</v>
      </c>
      <c r="X63" s="757" t="s">
        <v>1855</v>
      </c>
      <c r="Y63" s="757" t="s">
        <v>3233</v>
      </c>
      <c r="Z63" s="757" t="s">
        <v>2895</v>
      </c>
      <c r="AA63" s="757">
        <v>3</v>
      </c>
      <c r="AB63" s="1002" t="s">
        <v>3753</v>
      </c>
      <c r="AC63" s="757" t="s">
        <v>4795</v>
      </c>
      <c r="AD63" s="757">
        <v>1994</v>
      </c>
      <c r="AE63" s="757" t="s">
        <v>4329</v>
      </c>
    </row>
    <row r="64" spans="1:31">
      <c r="B64" s="783">
        <v>58</v>
      </c>
      <c r="C64" s="998">
        <v>219</v>
      </c>
      <c r="D64" s="785" t="s">
        <v>3232</v>
      </c>
      <c r="E64" s="10" t="s">
        <v>1855</v>
      </c>
      <c r="F64" s="10" t="s">
        <v>3233</v>
      </c>
      <c r="G64" s="162" t="s">
        <v>2895</v>
      </c>
      <c r="H64" s="828">
        <v>3</v>
      </c>
      <c r="I64" s="787" t="s">
        <v>2101</v>
      </c>
      <c r="J64" s="10" t="s">
        <v>2847</v>
      </c>
      <c r="K64" s="10"/>
      <c r="L64" s="162">
        <v>1994</v>
      </c>
      <c r="M64" s="788" t="s">
        <v>4329</v>
      </c>
      <c r="N64" s="789" t="s">
        <v>4531</v>
      </c>
      <c r="O64" s="790"/>
      <c r="P64" s="791"/>
      <c r="U64" s="757">
        <v>15</v>
      </c>
      <c r="V64" s="757">
        <v>219</v>
      </c>
      <c r="W64" s="757" t="s">
        <v>3232</v>
      </c>
      <c r="X64" s="757" t="s">
        <v>1855</v>
      </c>
      <c r="Y64" s="757" t="s">
        <v>3233</v>
      </c>
      <c r="Z64" s="757" t="s">
        <v>2895</v>
      </c>
      <c r="AA64" s="757">
        <v>3</v>
      </c>
      <c r="AB64" s="1002" t="s">
        <v>2101</v>
      </c>
      <c r="AC64" s="757" t="s">
        <v>2847</v>
      </c>
      <c r="AD64" s="757">
        <v>1994</v>
      </c>
      <c r="AE64" s="757" t="s">
        <v>4329</v>
      </c>
    </row>
    <row r="65" spans="2:31">
      <c r="B65" s="783">
        <v>59</v>
      </c>
      <c r="C65" s="998">
        <v>220</v>
      </c>
      <c r="D65" s="785" t="s">
        <v>3232</v>
      </c>
      <c r="E65" s="10" t="s">
        <v>1855</v>
      </c>
      <c r="F65" s="10" t="s">
        <v>3233</v>
      </c>
      <c r="G65" s="162" t="s">
        <v>2895</v>
      </c>
      <c r="H65" s="828">
        <v>2</v>
      </c>
      <c r="I65" s="787" t="s">
        <v>4362</v>
      </c>
      <c r="J65" s="10" t="s">
        <v>2848</v>
      </c>
      <c r="K65" s="10"/>
      <c r="L65" s="162">
        <v>1994</v>
      </c>
      <c r="M65" s="788" t="s">
        <v>4329</v>
      </c>
      <c r="N65" s="789" t="s">
        <v>4531</v>
      </c>
      <c r="O65" s="790"/>
      <c r="P65" s="791"/>
      <c r="Q65" s="799" t="s">
        <v>3895</v>
      </c>
      <c r="U65" s="757">
        <v>16</v>
      </c>
      <c r="V65" s="757">
        <v>220</v>
      </c>
      <c r="W65" s="757" t="s">
        <v>3232</v>
      </c>
      <c r="X65" s="757" t="s">
        <v>1855</v>
      </c>
      <c r="Y65" s="757" t="s">
        <v>3233</v>
      </c>
      <c r="Z65" s="757" t="s">
        <v>2895</v>
      </c>
      <c r="AA65" s="757">
        <v>2</v>
      </c>
      <c r="AB65" s="1002" t="s">
        <v>4362</v>
      </c>
      <c r="AC65" s="757" t="s">
        <v>2848</v>
      </c>
      <c r="AD65" s="757">
        <v>1994</v>
      </c>
      <c r="AE65" s="757" t="s">
        <v>4329</v>
      </c>
    </row>
    <row r="66" spans="2:31">
      <c r="B66" s="783">
        <v>60</v>
      </c>
      <c r="C66" s="998">
        <v>221</v>
      </c>
      <c r="D66" s="785" t="s">
        <v>3232</v>
      </c>
      <c r="E66" s="10" t="s">
        <v>1855</v>
      </c>
      <c r="F66" s="10" t="s">
        <v>3233</v>
      </c>
      <c r="G66" s="162" t="s">
        <v>2895</v>
      </c>
      <c r="H66" s="828">
        <v>3</v>
      </c>
      <c r="I66" s="787" t="s">
        <v>1106</v>
      </c>
      <c r="J66" s="10" t="s">
        <v>2635</v>
      </c>
      <c r="K66" s="10"/>
      <c r="L66" s="162">
        <v>1994</v>
      </c>
      <c r="M66" s="788" t="s">
        <v>4329</v>
      </c>
      <c r="N66" s="789" t="s">
        <v>4531</v>
      </c>
      <c r="O66" s="790"/>
      <c r="P66" s="791"/>
      <c r="U66" s="757">
        <v>17</v>
      </c>
      <c r="V66" s="757">
        <v>221</v>
      </c>
      <c r="W66" s="757" t="s">
        <v>3232</v>
      </c>
      <c r="X66" s="757" t="s">
        <v>1855</v>
      </c>
      <c r="Y66" s="757" t="s">
        <v>3233</v>
      </c>
      <c r="Z66" s="757" t="s">
        <v>2895</v>
      </c>
      <c r="AA66" s="757">
        <v>3</v>
      </c>
      <c r="AB66" s="1002" t="s">
        <v>1106</v>
      </c>
      <c r="AC66" s="757" t="s">
        <v>2635</v>
      </c>
      <c r="AD66" s="757">
        <v>1994</v>
      </c>
      <c r="AE66" s="757" t="s">
        <v>4329</v>
      </c>
    </row>
    <row r="67" spans="2:31">
      <c r="B67" s="783">
        <v>61</v>
      </c>
      <c r="C67" s="784">
        <v>222</v>
      </c>
      <c r="D67" s="785" t="s">
        <v>3232</v>
      </c>
      <c r="E67" s="10" t="s">
        <v>1855</v>
      </c>
      <c r="F67" s="10" t="s">
        <v>3233</v>
      </c>
      <c r="G67" s="162" t="s">
        <v>2897</v>
      </c>
      <c r="H67" s="828">
        <v>3</v>
      </c>
      <c r="I67" s="787" t="s">
        <v>2636</v>
      </c>
      <c r="J67" s="10" t="s">
        <v>2637</v>
      </c>
      <c r="K67" s="10"/>
      <c r="L67" s="162">
        <v>1996</v>
      </c>
      <c r="M67" s="788" t="s">
        <v>4329</v>
      </c>
      <c r="N67" s="789" t="s">
        <v>4531</v>
      </c>
      <c r="O67" s="790"/>
      <c r="P67" s="791"/>
      <c r="U67" s="757">
        <v>18</v>
      </c>
      <c r="V67" s="1002">
        <v>222</v>
      </c>
      <c r="W67" s="1003" t="s">
        <v>2726</v>
      </c>
      <c r="X67" s="1002"/>
      <c r="Y67" s="1002"/>
      <c r="Z67" s="1002"/>
      <c r="AA67" s="757">
        <v>3</v>
      </c>
      <c r="AB67" s="1002" t="s">
        <v>2636</v>
      </c>
    </row>
    <row r="68" spans="2:31">
      <c r="B68" s="783">
        <v>62</v>
      </c>
      <c r="C68" s="998">
        <v>224</v>
      </c>
      <c r="D68" s="785" t="s">
        <v>3232</v>
      </c>
      <c r="E68" s="10" t="s">
        <v>1855</v>
      </c>
      <c r="F68" s="10" t="s">
        <v>3233</v>
      </c>
      <c r="G68" s="162" t="s">
        <v>2897</v>
      </c>
      <c r="H68" s="828">
        <v>3</v>
      </c>
      <c r="I68" s="787" t="s">
        <v>4255</v>
      </c>
      <c r="J68" s="10" t="s">
        <v>1010</v>
      </c>
      <c r="K68" s="10"/>
      <c r="L68" s="162">
        <v>1996</v>
      </c>
      <c r="M68" s="788" t="s">
        <v>4329</v>
      </c>
      <c r="N68" s="789" t="s">
        <v>4531</v>
      </c>
      <c r="O68" s="790"/>
      <c r="P68" s="791"/>
      <c r="U68" s="757">
        <v>19</v>
      </c>
      <c r="V68" s="757">
        <v>224</v>
      </c>
      <c r="W68" s="757" t="s">
        <v>3232</v>
      </c>
      <c r="X68" s="757" t="s">
        <v>1855</v>
      </c>
      <c r="Y68" s="757" t="s">
        <v>3233</v>
      </c>
      <c r="Z68" s="757" t="s">
        <v>2897</v>
      </c>
      <c r="AA68" s="757">
        <v>3</v>
      </c>
      <c r="AB68" s="1002" t="s">
        <v>4255</v>
      </c>
      <c r="AC68" s="757" t="s">
        <v>1010</v>
      </c>
      <c r="AD68" s="757">
        <v>1996</v>
      </c>
      <c r="AE68" s="757" t="s">
        <v>4329</v>
      </c>
    </row>
    <row r="69" spans="2:31">
      <c r="B69" s="783">
        <v>63</v>
      </c>
      <c r="C69" s="998">
        <v>225</v>
      </c>
      <c r="D69" s="785" t="s">
        <v>3232</v>
      </c>
      <c r="E69" s="10" t="s">
        <v>1855</v>
      </c>
      <c r="F69" s="10" t="s">
        <v>3233</v>
      </c>
      <c r="G69" s="162" t="s">
        <v>2897</v>
      </c>
      <c r="H69" s="828">
        <v>3</v>
      </c>
      <c r="I69" s="787" t="s">
        <v>1634</v>
      </c>
      <c r="J69" s="10" t="s">
        <v>1510</v>
      </c>
      <c r="K69" s="10"/>
      <c r="L69" s="162">
        <v>1996</v>
      </c>
      <c r="M69" s="788" t="s">
        <v>4329</v>
      </c>
      <c r="N69" s="789" t="s">
        <v>4531</v>
      </c>
      <c r="O69" s="790"/>
      <c r="P69" s="791"/>
      <c r="U69" s="757">
        <v>20</v>
      </c>
      <c r="V69" s="757">
        <v>225</v>
      </c>
      <c r="W69" s="757" t="s">
        <v>3232</v>
      </c>
      <c r="X69" s="757" t="s">
        <v>1855</v>
      </c>
      <c r="Y69" s="757" t="s">
        <v>3233</v>
      </c>
      <c r="Z69" s="757" t="s">
        <v>2897</v>
      </c>
      <c r="AA69" s="757">
        <v>3</v>
      </c>
      <c r="AB69" s="1002" t="s">
        <v>1634</v>
      </c>
      <c r="AC69" s="757" t="s">
        <v>1510</v>
      </c>
      <c r="AD69" s="757">
        <v>1996</v>
      </c>
      <c r="AE69" s="757" t="s">
        <v>4329</v>
      </c>
    </row>
    <row r="70" spans="2:31">
      <c r="B70" s="783">
        <v>64</v>
      </c>
      <c r="C70" s="998">
        <v>226</v>
      </c>
      <c r="D70" s="785" t="s">
        <v>3232</v>
      </c>
      <c r="E70" s="10" t="s">
        <v>1855</v>
      </c>
      <c r="F70" s="10" t="s">
        <v>3233</v>
      </c>
      <c r="G70" s="162" t="s">
        <v>2897</v>
      </c>
      <c r="H70" s="828">
        <v>3</v>
      </c>
      <c r="I70" s="787" t="s">
        <v>1105</v>
      </c>
      <c r="J70" s="10" t="s">
        <v>4898</v>
      </c>
      <c r="K70" s="10"/>
      <c r="L70" s="162">
        <v>1996</v>
      </c>
      <c r="M70" s="788" t="s">
        <v>4329</v>
      </c>
      <c r="N70" s="789" t="s">
        <v>4531</v>
      </c>
      <c r="O70" s="790"/>
      <c r="P70" s="791"/>
      <c r="U70" s="757">
        <v>21</v>
      </c>
      <c r="V70" s="757">
        <v>226</v>
      </c>
      <c r="W70" s="757" t="s">
        <v>3232</v>
      </c>
      <c r="X70" s="757" t="s">
        <v>1855</v>
      </c>
      <c r="Y70" s="757" t="s">
        <v>3233</v>
      </c>
      <c r="Z70" s="757" t="s">
        <v>2897</v>
      </c>
      <c r="AA70" s="757">
        <v>3</v>
      </c>
      <c r="AB70" s="1002" t="s">
        <v>1105</v>
      </c>
      <c r="AC70" s="757" t="s">
        <v>4898</v>
      </c>
      <c r="AD70" s="757">
        <v>1996</v>
      </c>
      <c r="AE70" s="757" t="s">
        <v>4329</v>
      </c>
    </row>
    <row r="71" spans="2:31">
      <c r="B71" s="783">
        <v>65</v>
      </c>
      <c r="C71" s="998">
        <v>227</v>
      </c>
      <c r="D71" s="785" t="s">
        <v>3232</v>
      </c>
      <c r="E71" s="10" t="s">
        <v>1855</v>
      </c>
      <c r="F71" s="10" t="s">
        <v>53</v>
      </c>
      <c r="G71" s="10" t="s">
        <v>472</v>
      </c>
      <c r="H71" s="828">
        <v>3</v>
      </c>
      <c r="I71" s="787" t="s">
        <v>282</v>
      </c>
      <c r="J71" s="10" t="s">
        <v>5020</v>
      </c>
      <c r="K71" s="10"/>
      <c r="L71" s="162">
        <v>1997</v>
      </c>
      <c r="M71" s="788" t="s">
        <v>4329</v>
      </c>
      <c r="N71" s="789" t="s">
        <v>4531</v>
      </c>
      <c r="O71" s="790"/>
      <c r="P71" s="791"/>
      <c r="U71" s="757">
        <v>22</v>
      </c>
      <c r="V71" s="757">
        <v>227</v>
      </c>
      <c r="W71" s="757" t="s">
        <v>3232</v>
      </c>
      <c r="X71" s="757" t="s">
        <v>1855</v>
      </c>
      <c r="Y71" s="757" t="s">
        <v>53</v>
      </c>
      <c r="Z71" s="757" t="s">
        <v>472</v>
      </c>
      <c r="AA71" s="757">
        <v>3</v>
      </c>
      <c r="AB71" s="1002" t="s">
        <v>282</v>
      </c>
      <c r="AC71" s="757" t="s">
        <v>5020</v>
      </c>
      <c r="AD71" s="757">
        <v>1997</v>
      </c>
      <c r="AE71" s="757" t="s">
        <v>4329</v>
      </c>
    </row>
    <row r="72" spans="2:31">
      <c r="B72" s="783">
        <v>66</v>
      </c>
      <c r="C72" s="998">
        <v>228</v>
      </c>
      <c r="D72" s="785" t="s">
        <v>3232</v>
      </c>
      <c r="E72" s="10" t="s">
        <v>1855</v>
      </c>
      <c r="F72" s="10" t="s">
        <v>3233</v>
      </c>
      <c r="G72" s="162" t="s">
        <v>2897</v>
      </c>
      <c r="H72" s="828">
        <v>2</v>
      </c>
      <c r="I72" s="787" t="s">
        <v>4363</v>
      </c>
      <c r="J72" s="10" t="s">
        <v>2359</v>
      </c>
      <c r="K72" s="10"/>
      <c r="L72" s="162">
        <v>1996</v>
      </c>
      <c r="M72" s="788" t="s">
        <v>4329</v>
      </c>
      <c r="N72" s="789" t="s">
        <v>4531</v>
      </c>
      <c r="O72" s="790"/>
      <c r="P72" s="791"/>
      <c r="Q72" s="799" t="s">
        <v>3895</v>
      </c>
      <c r="U72" s="757">
        <v>23</v>
      </c>
      <c r="V72" s="757">
        <v>228</v>
      </c>
      <c r="W72" s="757" t="s">
        <v>3232</v>
      </c>
      <c r="X72" s="757" t="s">
        <v>1855</v>
      </c>
      <c r="Y72" s="757" t="s">
        <v>3233</v>
      </c>
      <c r="Z72" s="757" t="s">
        <v>2897</v>
      </c>
      <c r="AA72" s="757">
        <v>2</v>
      </c>
      <c r="AB72" s="1002" t="s">
        <v>4363</v>
      </c>
      <c r="AC72" s="757" t="s">
        <v>2359</v>
      </c>
      <c r="AD72" s="757">
        <v>1996</v>
      </c>
      <c r="AE72" s="757" t="s">
        <v>4329</v>
      </c>
    </row>
    <row r="73" spans="2:31">
      <c r="B73" s="783">
        <v>67</v>
      </c>
      <c r="C73" s="998">
        <v>229</v>
      </c>
      <c r="D73" s="785" t="s">
        <v>3232</v>
      </c>
      <c r="E73" s="10" t="s">
        <v>1855</v>
      </c>
      <c r="F73" s="10" t="s">
        <v>53</v>
      </c>
      <c r="G73" s="10" t="s">
        <v>472</v>
      </c>
      <c r="H73" s="828">
        <v>3</v>
      </c>
      <c r="I73" s="787" t="s">
        <v>498</v>
      </c>
      <c r="J73" s="10" t="s">
        <v>838</v>
      </c>
      <c r="K73" s="10"/>
      <c r="L73" s="162">
        <v>1997</v>
      </c>
      <c r="M73" s="788" t="s">
        <v>4329</v>
      </c>
      <c r="N73" s="789" t="s">
        <v>4531</v>
      </c>
      <c r="O73" s="790"/>
      <c r="P73" s="791"/>
      <c r="U73" s="757">
        <v>24</v>
      </c>
      <c r="V73" s="757">
        <v>229</v>
      </c>
      <c r="W73" s="757" t="s">
        <v>3232</v>
      </c>
      <c r="X73" s="757" t="s">
        <v>1855</v>
      </c>
      <c r="Y73" s="757" t="s">
        <v>53</v>
      </c>
      <c r="Z73" s="757" t="s">
        <v>472</v>
      </c>
      <c r="AA73" s="757">
        <v>3</v>
      </c>
      <c r="AB73" s="1002" t="s">
        <v>498</v>
      </c>
      <c r="AC73" s="757" t="s">
        <v>838</v>
      </c>
      <c r="AD73" s="757">
        <v>1997</v>
      </c>
      <c r="AE73" s="757" t="s">
        <v>4329</v>
      </c>
    </row>
    <row r="74" spans="2:31">
      <c r="B74" s="783">
        <v>68</v>
      </c>
      <c r="C74" s="998">
        <v>230</v>
      </c>
      <c r="D74" s="785" t="s">
        <v>3232</v>
      </c>
      <c r="E74" s="10" t="s">
        <v>1855</v>
      </c>
      <c r="F74" s="10" t="s">
        <v>839</v>
      </c>
      <c r="G74" s="10" t="s">
        <v>1076</v>
      </c>
      <c r="H74" s="828">
        <v>3</v>
      </c>
      <c r="I74" s="787" t="s">
        <v>497</v>
      </c>
      <c r="J74" s="10" t="s">
        <v>1077</v>
      </c>
      <c r="K74" s="10"/>
      <c r="L74" s="162">
        <v>1998</v>
      </c>
      <c r="M74" s="788" t="s">
        <v>4329</v>
      </c>
      <c r="N74" s="789" t="s">
        <v>4531</v>
      </c>
      <c r="O74" s="790"/>
      <c r="P74" s="791"/>
      <c r="U74" s="757">
        <v>25</v>
      </c>
      <c r="V74" s="757">
        <v>230</v>
      </c>
      <c r="W74" s="757" t="s">
        <v>3232</v>
      </c>
      <c r="X74" s="757" t="s">
        <v>1855</v>
      </c>
      <c r="Y74" s="757" t="s">
        <v>839</v>
      </c>
      <c r="Z74" s="757" t="s">
        <v>1076</v>
      </c>
      <c r="AA74" s="757">
        <v>3</v>
      </c>
      <c r="AB74" s="1002" t="s">
        <v>497</v>
      </c>
      <c r="AC74" s="757" t="s">
        <v>1077</v>
      </c>
      <c r="AD74" s="757">
        <v>1998</v>
      </c>
      <c r="AE74" s="757" t="s">
        <v>4329</v>
      </c>
    </row>
    <row r="75" spans="2:31">
      <c r="B75" s="783">
        <v>69</v>
      </c>
      <c r="C75" s="998">
        <v>231</v>
      </c>
      <c r="D75" s="785" t="s">
        <v>3232</v>
      </c>
      <c r="E75" s="10" t="s">
        <v>1855</v>
      </c>
      <c r="F75" s="10" t="s">
        <v>839</v>
      </c>
      <c r="G75" s="10" t="s">
        <v>1076</v>
      </c>
      <c r="H75" s="828">
        <v>3</v>
      </c>
      <c r="I75" s="787" t="s">
        <v>279</v>
      </c>
      <c r="J75" s="10" t="s">
        <v>2110</v>
      </c>
      <c r="K75" s="10"/>
      <c r="L75" s="162">
        <v>1998</v>
      </c>
      <c r="M75" s="788" t="s">
        <v>4329</v>
      </c>
      <c r="N75" s="789" t="s">
        <v>4531</v>
      </c>
      <c r="O75" s="790"/>
      <c r="P75" s="791"/>
      <c r="U75" s="757">
        <v>26</v>
      </c>
      <c r="V75" s="757">
        <v>231</v>
      </c>
      <c r="W75" s="757" t="s">
        <v>3232</v>
      </c>
      <c r="X75" s="757" t="s">
        <v>1855</v>
      </c>
      <c r="Y75" s="757" t="s">
        <v>839</v>
      </c>
      <c r="Z75" s="757" t="s">
        <v>1076</v>
      </c>
      <c r="AA75" s="757">
        <v>3</v>
      </c>
      <c r="AB75" s="1002" t="s">
        <v>279</v>
      </c>
      <c r="AC75" s="757" t="s">
        <v>2110</v>
      </c>
      <c r="AD75" s="757">
        <v>1998</v>
      </c>
      <c r="AE75" s="757" t="s">
        <v>4329</v>
      </c>
    </row>
    <row r="76" spans="2:31">
      <c r="B76" s="783">
        <v>70</v>
      </c>
      <c r="C76" s="998">
        <v>232</v>
      </c>
      <c r="D76" s="785" t="s">
        <v>3232</v>
      </c>
      <c r="E76" s="10" t="s">
        <v>1855</v>
      </c>
      <c r="F76" s="10" t="s">
        <v>839</v>
      </c>
      <c r="G76" s="10" t="s">
        <v>1076</v>
      </c>
      <c r="H76" s="828">
        <v>3</v>
      </c>
      <c r="I76" s="787" t="s">
        <v>280</v>
      </c>
      <c r="J76" s="10" t="s">
        <v>1934</v>
      </c>
      <c r="K76" s="10"/>
      <c r="L76" s="162">
        <v>1998</v>
      </c>
      <c r="M76" s="788" t="s">
        <v>4329</v>
      </c>
      <c r="N76" s="789" t="s">
        <v>4531</v>
      </c>
      <c r="O76" s="790"/>
      <c r="P76" s="791"/>
      <c r="U76" s="757">
        <v>27</v>
      </c>
      <c r="V76" s="757">
        <v>232</v>
      </c>
      <c r="W76" s="757" t="s">
        <v>3232</v>
      </c>
      <c r="X76" s="757" t="s">
        <v>1855</v>
      </c>
      <c r="Y76" s="757" t="s">
        <v>839</v>
      </c>
      <c r="Z76" s="757" t="s">
        <v>1076</v>
      </c>
      <c r="AA76" s="757">
        <v>3</v>
      </c>
      <c r="AB76" s="1002" t="s">
        <v>280</v>
      </c>
      <c r="AC76" s="757" t="s">
        <v>1934</v>
      </c>
      <c r="AD76" s="757">
        <v>1998</v>
      </c>
      <c r="AE76" s="757" t="s">
        <v>4329</v>
      </c>
    </row>
    <row r="77" spans="2:31">
      <c r="B77" s="783">
        <v>71</v>
      </c>
      <c r="C77" s="998">
        <v>233</v>
      </c>
      <c r="D77" s="785" t="s">
        <v>3232</v>
      </c>
      <c r="E77" s="10" t="s">
        <v>1855</v>
      </c>
      <c r="F77" s="10" t="s">
        <v>839</v>
      </c>
      <c r="G77" s="10" t="s">
        <v>1076</v>
      </c>
      <c r="H77" s="828">
        <v>3</v>
      </c>
      <c r="I77" s="787" t="s">
        <v>4679</v>
      </c>
      <c r="J77" s="10" t="s">
        <v>1935</v>
      </c>
      <c r="K77" s="10"/>
      <c r="L77" s="162">
        <v>1998</v>
      </c>
      <c r="M77" s="788" t="s">
        <v>4329</v>
      </c>
      <c r="N77" s="789" t="s">
        <v>4531</v>
      </c>
      <c r="O77" s="790"/>
      <c r="P77" s="791"/>
      <c r="U77" s="757">
        <v>28</v>
      </c>
      <c r="V77" s="757">
        <v>233</v>
      </c>
      <c r="W77" s="757" t="s">
        <v>3232</v>
      </c>
      <c r="X77" s="757" t="s">
        <v>1855</v>
      </c>
      <c r="Y77" s="757" t="s">
        <v>839</v>
      </c>
      <c r="Z77" s="757" t="s">
        <v>1076</v>
      </c>
      <c r="AA77" s="757">
        <v>3</v>
      </c>
      <c r="AB77" s="1002" t="s">
        <v>4679</v>
      </c>
      <c r="AC77" s="757" t="s">
        <v>1935</v>
      </c>
      <c r="AD77" s="757">
        <v>1998</v>
      </c>
      <c r="AE77" s="757" t="s">
        <v>4329</v>
      </c>
    </row>
    <row r="78" spans="2:31">
      <c r="B78" s="783">
        <v>72</v>
      </c>
      <c r="C78" s="998">
        <v>234</v>
      </c>
      <c r="D78" s="785" t="s">
        <v>3232</v>
      </c>
      <c r="E78" s="10" t="s">
        <v>1855</v>
      </c>
      <c r="F78" s="10" t="s">
        <v>5000</v>
      </c>
      <c r="G78" s="10" t="s">
        <v>5001</v>
      </c>
      <c r="H78" s="828">
        <v>3</v>
      </c>
      <c r="I78" s="787" t="s">
        <v>669</v>
      </c>
      <c r="J78" s="10" t="s">
        <v>1936</v>
      </c>
      <c r="K78" s="10"/>
      <c r="L78" s="162">
        <v>1999</v>
      </c>
      <c r="M78" s="788" t="s">
        <v>4329</v>
      </c>
      <c r="N78" s="789" t="s">
        <v>4531</v>
      </c>
      <c r="O78" s="790"/>
      <c r="P78" s="791"/>
      <c r="V78" s="757">
        <v>234</v>
      </c>
      <c r="W78" s="757" t="s">
        <v>3232</v>
      </c>
      <c r="X78" s="757" t="s">
        <v>1855</v>
      </c>
      <c r="Y78" s="757" t="s">
        <v>5000</v>
      </c>
      <c r="Z78" s="757" t="s">
        <v>5001</v>
      </c>
      <c r="AA78" s="757">
        <v>3</v>
      </c>
      <c r="AB78" s="1002" t="s">
        <v>669</v>
      </c>
      <c r="AC78" s="757" t="s">
        <v>1936</v>
      </c>
      <c r="AD78" s="757">
        <v>1999</v>
      </c>
      <c r="AE78" s="757" t="s">
        <v>4329</v>
      </c>
    </row>
    <row r="79" spans="2:31">
      <c r="B79" s="783">
        <v>73</v>
      </c>
      <c r="C79" s="998">
        <v>235</v>
      </c>
      <c r="D79" s="785" t="s">
        <v>3232</v>
      </c>
      <c r="E79" s="10" t="s">
        <v>1855</v>
      </c>
      <c r="F79" s="10" t="s">
        <v>5000</v>
      </c>
      <c r="G79" s="10" t="s">
        <v>5001</v>
      </c>
      <c r="H79" s="828">
        <v>2</v>
      </c>
      <c r="I79" s="787" t="s">
        <v>281</v>
      </c>
      <c r="J79" s="10" t="s">
        <v>4239</v>
      </c>
      <c r="K79" s="10"/>
      <c r="L79" s="162">
        <v>1999</v>
      </c>
      <c r="M79" s="788" t="s">
        <v>4329</v>
      </c>
      <c r="N79" s="789" t="s">
        <v>4531</v>
      </c>
      <c r="O79" s="790"/>
      <c r="P79" s="791"/>
      <c r="Q79" s="799" t="s">
        <v>3895</v>
      </c>
      <c r="V79" s="757">
        <v>235</v>
      </c>
      <c r="W79" s="757" t="s">
        <v>3232</v>
      </c>
      <c r="X79" s="757" t="s">
        <v>1855</v>
      </c>
      <c r="Y79" s="757" t="s">
        <v>5000</v>
      </c>
      <c r="Z79" s="757" t="s">
        <v>5001</v>
      </c>
      <c r="AA79" s="757">
        <v>2</v>
      </c>
      <c r="AB79" s="1002" t="s">
        <v>281</v>
      </c>
      <c r="AC79" s="757" t="s">
        <v>4239</v>
      </c>
      <c r="AD79" s="757">
        <v>1999</v>
      </c>
      <c r="AE79" s="757" t="s">
        <v>4329</v>
      </c>
    </row>
    <row r="80" spans="2:31">
      <c r="B80" s="783">
        <v>74</v>
      </c>
      <c r="C80" s="784">
        <v>237</v>
      </c>
      <c r="D80" s="785" t="s">
        <v>3232</v>
      </c>
      <c r="E80" s="10" t="s">
        <v>1855</v>
      </c>
      <c r="F80" s="10" t="s">
        <v>5000</v>
      </c>
      <c r="G80" s="10" t="s">
        <v>5001</v>
      </c>
      <c r="H80" s="828">
        <v>3</v>
      </c>
      <c r="I80" s="787" t="s">
        <v>1667</v>
      </c>
      <c r="J80" s="10" t="s">
        <v>1668</v>
      </c>
      <c r="K80" s="10"/>
      <c r="L80" s="162">
        <v>1999</v>
      </c>
      <c r="M80" s="788" t="s">
        <v>4329</v>
      </c>
      <c r="N80" s="789" t="s">
        <v>4531</v>
      </c>
      <c r="O80" s="790"/>
      <c r="P80" s="791"/>
      <c r="V80" s="1002">
        <v>237</v>
      </c>
      <c r="W80" s="1003" t="s">
        <v>2726</v>
      </c>
      <c r="X80" s="1002"/>
      <c r="Y80" s="1002"/>
      <c r="AA80" s="757">
        <v>3</v>
      </c>
      <c r="AB80" s="1002" t="s">
        <v>1667</v>
      </c>
    </row>
    <row r="81" spans="2:31" ht="15.75" thickBot="1">
      <c r="B81" s="813">
        <v>75</v>
      </c>
      <c r="C81" s="814">
        <v>238</v>
      </c>
      <c r="D81" s="815" t="s">
        <v>3232</v>
      </c>
      <c r="E81" s="816" t="s">
        <v>1855</v>
      </c>
      <c r="F81" s="816" t="s">
        <v>3233</v>
      </c>
      <c r="G81" s="816" t="s">
        <v>2895</v>
      </c>
      <c r="H81" s="837">
        <v>3</v>
      </c>
      <c r="I81" s="819" t="s">
        <v>1669</v>
      </c>
      <c r="J81" s="816" t="s">
        <v>2310</v>
      </c>
      <c r="K81" s="816"/>
      <c r="L81" s="817">
        <v>1994</v>
      </c>
      <c r="M81" s="820" t="s">
        <v>4329</v>
      </c>
      <c r="N81" s="789" t="s">
        <v>4531</v>
      </c>
      <c r="O81" s="790"/>
      <c r="P81" s="791"/>
      <c r="V81" s="1002">
        <v>238</v>
      </c>
      <c r="W81" s="1003" t="s">
        <v>2726</v>
      </c>
      <c r="X81" s="1002"/>
      <c r="Y81" s="1002"/>
      <c r="AA81" s="757">
        <v>3</v>
      </c>
      <c r="AB81" s="1002" t="s">
        <v>1669</v>
      </c>
    </row>
    <row r="82" spans="2:31" ht="15.75" thickTop="1">
      <c r="B82" s="821">
        <v>76</v>
      </c>
      <c r="C82" s="838">
        <v>302</v>
      </c>
      <c r="D82" s="822" t="s">
        <v>3232</v>
      </c>
      <c r="E82" s="823" t="s">
        <v>3795</v>
      </c>
      <c r="F82" s="823" t="s">
        <v>2311</v>
      </c>
      <c r="G82" s="824" t="s">
        <v>4694</v>
      </c>
      <c r="H82" s="825">
        <v>2</v>
      </c>
      <c r="I82" s="826" t="s">
        <v>1684</v>
      </c>
      <c r="J82" s="823" t="s">
        <v>867</v>
      </c>
      <c r="K82" s="823"/>
      <c r="L82" s="824">
        <v>1962</v>
      </c>
      <c r="M82" s="827" t="s">
        <v>4329</v>
      </c>
      <c r="N82" s="789" t="s">
        <v>4531</v>
      </c>
      <c r="O82" s="790"/>
      <c r="P82" s="791"/>
    </row>
    <row r="83" spans="2:31">
      <c r="B83" s="783">
        <v>77</v>
      </c>
      <c r="C83" s="839">
        <v>308</v>
      </c>
      <c r="D83" s="785" t="s">
        <v>3232</v>
      </c>
      <c r="E83" s="10" t="s">
        <v>3795</v>
      </c>
      <c r="F83" s="10" t="s">
        <v>2311</v>
      </c>
      <c r="G83" s="162" t="s">
        <v>4694</v>
      </c>
      <c r="H83" s="828">
        <v>2</v>
      </c>
      <c r="I83" s="787" t="s">
        <v>3532</v>
      </c>
      <c r="J83" s="10" t="s">
        <v>4271</v>
      </c>
      <c r="K83" s="10"/>
      <c r="L83" s="162">
        <v>1962</v>
      </c>
      <c r="M83" s="788" t="s">
        <v>4329</v>
      </c>
      <c r="N83" s="789" t="s">
        <v>4531</v>
      </c>
      <c r="O83" s="790"/>
      <c r="P83" s="791"/>
    </row>
    <row r="84" spans="2:31">
      <c r="B84" s="783">
        <v>78</v>
      </c>
      <c r="C84" s="839">
        <v>315</v>
      </c>
      <c r="D84" s="785" t="s">
        <v>3232</v>
      </c>
      <c r="E84" s="10" t="s">
        <v>3795</v>
      </c>
      <c r="F84" s="10" t="s">
        <v>2311</v>
      </c>
      <c r="G84" s="162" t="s">
        <v>4694</v>
      </c>
      <c r="H84" s="828">
        <v>2</v>
      </c>
      <c r="I84" s="787" t="s">
        <v>2719</v>
      </c>
      <c r="J84" s="10" t="s">
        <v>2911</v>
      </c>
      <c r="K84" s="10"/>
      <c r="L84" s="162">
        <v>1963</v>
      </c>
      <c r="M84" s="788" t="s">
        <v>4329</v>
      </c>
      <c r="N84" s="789" t="s">
        <v>4531</v>
      </c>
      <c r="O84" s="790"/>
      <c r="P84" s="791"/>
    </row>
    <row r="85" spans="2:31">
      <c r="B85" s="783">
        <v>79</v>
      </c>
      <c r="C85" s="839">
        <v>324</v>
      </c>
      <c r="D85" s="785" t="s">
        <v>3232</v>
      </c>
      <c r="E85" s="10" t="s">
        <v>3795</v>
      </c>
      <c r="F85" s="10" t="s">
        <v>2311</v>
      </c>
      <c r="G85" s="162" t="s">
        <v>4694</v>
      </c>
      <c r="H85" s="828">
        <v>2</v>
      </c>
      <c r="I85" s="787" t="s">
        <v>2765</v>
      </c>
      <c r="J85" s="10" t="s">
        <v>2912</v>
      </c>
      <c r="K85" s="10"/>
      <c r="L85" s="162">
        <v>1963</v>
      </c>
      <c r="M85" s="788" t="s">
        <v>4329</v>
      </c>
      <c r="N85" s="789" t="s">
        <v>4531</v>
      </c>
      <c r="O85" s="790"/>
      <c r="P85" s="791"/>
      <c r="W85" s="1004" t="s">
        <v>4008</v>
      </c>
      <c r="X85" s="1004"/>
      <c r="AE85" s="757" t="s">
        <v>65</v>
      </c>
    </row>
    <row r="86" spans="2:31">
      <c r="B86" s="783">
        <v>80</v>
      </c>
      <c r="C86" s="894">
        <v>332</v>
      </c>
      <c r="D86" s="785" t="s">
        <v>3232</v>
      </c>
      <c r="E86" s="10" t="s">
        <v>3795</v>
      </c>
      <c r="F86" s="10" t="s">
        <v>2913</v>
      </c>
      <c r="G86" s="162">
        <v>40</v>
      </c>
      <c r="H86" s="828">
        <v>2</v>
      </c>
      <c r="I86" s="895" t="s">
        <v>248</v>
      </c>
      <c r="J86" s="797" t="s">
        <v>2914</v>
      </c>
      <c r="K86" s="797"/>
      <c r="L86" s="162">
        <v>1980</v>
      </c>
      <c r="M86" s="788" t="s">
        <v>4329</v>
      </c>
      <c r="N86" s="789" t="s">
        <v>4531</v>
      </c>
      <c r="O86" s="790"/>
      <c r="P86" s="791"/>
      <c r="W86" s="1005" t="s">
        <v>2727</v>
      </c>
      <c r="X86" s="1006"/>
      <c r="Y86" s="1006"/>
      <c r="Z86" s="1006"/>
      <c r="AA86" s="1006"/>
      <c r="AB86" s="1006" t="s">
        <v>4213</v>
      </c>
      <c r="AC86" s="1007" t="s">
        <v>3591</v>
      </c>
      <c r="AD86" s="1036" t="s">
        <v>2045</v>
      </c>
      <c r="AE86" s="757" t="s">
        <v>2044</v>
      </c>
    </row>
    <row r="87" spans="2:31" ht="15.75">
      <c r="B87" s="783">
        <v>81</v>
      </c>
      <c r="C87" s="839">
        <v>338</v>
      </c>
      <c r="D87" s="785" t="s">
        <v>3232</v>
      </c>
      <c r="E87" s="10" t="s">
        <v>3795</v>
      </c>
      <c r="F87" s="10" t="s">
        <v>2913</v>
      </c>
      <c r="G87" s="162" t="s">
        <v>4694</v>
      </c>
      <c r="H87" s="828">
        <v>2</v>
      </c>
      <c r="I87" s="891" t="s">
        <v>2455</v>
      </c>
      <c r="J87" s="896" t="s">
        <v>1876</v>
      </c>
      <c r="K87" s="896"/>
      <c r="L87" s="162">
        <v>1981</v>
      </c>
      <c r="M87" s="788" t="s">
        <v>4329</v>
      </c>
      <c r="N87" s="789" t="s">
        <v>4531</v>
      </c>
      <c r="O87" s="790"/>
      <c r="P87" s="791"/>
      <c r="Q87" s="799" t="s">
        <v>4976</v>
      </c>
      <c r="T87" s="757" t="s">
        <v>486</v>
      </c>
      <c r="W87" s="1008">
        <v>205</v>
      </c>
      <c r="X87" s="1009" t="s">
        <v>2726</v>
      </c>
      <c r="Y87" s="1010"/>
      <c r="Z87" s="1010"/>
      <c r="AA87" s="1010"/>
      <c r="AB87" s="1011">
        <v>3</v>
      </c>
      <c r="AC87" s="1011" t="s">
        <v>57</v>
      </c>
      <c r="AD87" s="1036" t="s">
        <v>4121</v>
      </c>
      <c r="AE87" s="757">
        <v>6706</v>
      </c>
    </row>
    <row r="88" spans="2:31">
      <c r="B88" s="783">
        <v>82</v>
      </c>
      <c r="C88" s="839">
        <v>339</v>
      </c>
      <c r="D88" s="785" t="s">
        <v>3232</v>
      </c>
      <c r="E88" s="10" t="s">
        <v>3795</v>
      </c>
      <c r="F88" s="10" t="s">
        <v>2913</v>
      </c>
      <c r="G88" s="162" t="s">
        <v>4694</v>
      </c>
      <c r="H88" s="828">
        <v>2</v>
      </c>
      <c r="I88" s="840" t="s">
        <v>1583</v>
      </c>
      <c r="J88" s="10" t="s">
        <v>2149</v>
      </c>
      <c r="K88" s="10"/>
      <c r="L88" s="162">
        <v>1981</v>
      </c>
      <c r="M88" s="788" t="s">
        <v>4329</v>
      </c>
      <c r="N88" s="789" t="s">
        <v>4531</v>
      </c>
      <c r="O88" s="790"/>
      <c r="P88" s="791"/>
      <c r="W88" s="1039">
        <v>222</v>
      </c>
      <c r="X88" s="1012" t="s">
        <v>2726</v>
      </c>
      <c r="Y88" s="1013"/>
      <c r="Z88" s="1013"/>
      <c r="AA88" s="1013"/>
      <c r="AB88" s="1037">
        <v>3</v>
      </c>
      <c r="AC88" s="1037" t="s">
        <v>2636</v>
      </c>
      <c r="AD88" s="1038" t="s">
        <v>2515</v>
      </c>
      <c r="AE88" s="757">
        <v>6936</v>
      </c>
    </row>
    <row r="89" spans="2:31">
      <c r="B89" s="783">
        <v>83</v>
      </c>
      <c r="C89" s="839">
        <v>342</v>
      </c>
      <c r="D89" s="785" t="s">
        <v>3232</v>
      </c>
      <c r="E89" s="10" t="s">
        <v>3795</v>
      </c>
      <c r="F89" s="10" t="s">
        <v>2913</v>
      </c>
      <c r="G89" s="162" t="s">
        <v>4694</v>
      </c>
      <c r="H89" s="828">
        <v>2</v>
      </c>
      <c r="I89" s="891" t="s">
        <v>4861</v>
      </c>
      <c r="J89" s="10" t="s">
        <v>1880</v>
      </c>
      <c r="K89" s="10"/>
      <c r="L89" s="162">
        <v>1981</v>
      </c>
      <c r="M89" s="788" t="s">
        <v>4329</v>
      </c>
      <c r="N89" s="789" t="s">
        <v>4531</v>
      </c>
      <c r="O89" s="790"/>
      <c r="P89" s="791"/>
      <c r="Q89" s="799" t="s">
        <v>4976</v>
      </c>
      <c r="W89" s="1185">
        <v>237</v>
      </c>
      <c r="X89" s="1186" t="s">
        <v>2726</v>
      </c>
      <c r="Y89" s="1186"/>
      <c r="Z89" s="1186"/>
      <c r="AA89" s="1186"/>
      <c r="AB89" s="1187">
        <v>3</v>
      </c>
      <c r="AC89" s="1187" t="s">
        <v>1667</v>
      </c>
      <c r="AD89" s="1191" t="s">
        <v>2151</v>
      </c>
      <c r="AE89" s="757">
        <v>1462</v>
      </c>
    </row>
    <row r="90" spans="2:31">
      <c r="B90" s="783">
        <v>84</v>
      </c>
      <c r="C90" s="839">
        <v>343</v>
      </c>
      <c r="D90" s="785" t="s">
        <v>3232</v>
      </c>
      <c r="E90" s="10" t="s">
        <v>3795</v>
      </c>
      <c r="F90" s="10" t="s">
        <v>2913</v>
      </c>
      <c r="G90" s="162" t="s">
        <v>4694</v>
      </c>
      <c r="H90" s="828">
        <v>2</v>
      </c>
      <c r="I90" s="840" t="s">
        <v>764</v>
      </c>
      <c r="J90" s="10" t="s">
        <v>1881</v>
      </c>
      <c r="K90" s="10"/>
      <c r="L90" s="162">
        <v>1981</v>
      </c>
      <c r="M90" s="788" t="s">
        <v>4329</v>
      </c>
      <c r="N90" s="789" t="s">
        <v>4531</v>
      </c>
      <c r="O90" s="790"/>
      <c r="P90" s="791"/>
      <c r="W90" s="1188">
        <v>238</v>
      </c>
      <c r="X90" s="1189" t="s">
        <v>2726</v>
      </c>
      <c r="Y90" s="1189"/>
      <c r="Z90" s="1189"/>
      <c r="AA90" s="1189"/>
      <c r="AB90" s="1190">
        <v>3</v>
      </c>
      <c r="AC90" s="1190" t="s">
        <v>1669</v>
      </c>
      <c r="AD90" s="1192" t="s">
        <v>2151</v>
      </c>
      <c r="AE90" s="757">
        <v>6763</v>
      </c>
    </row>
    <row r="91" spans="2:31">
      <c r="B91" s="783">
        <v>85</v>
      </c>
      <c r="C91" s="839">
        <v>344</v>
      </c>
      <c r="D91" s="785" t="s">
        <v>3232</v>
      </c>
      <c r="E91" s="10" t="s">
        <v>3795</v>
      </c>
      <c r="F91" s="10" t="s">
        <v>2913</v>
      </c>
      <c r="G91" s="162" t="s">
        <v>4694</v>
      </c>
      <c r="H91" s="828">
        <v>2</v>
      </c>
      <c r="I91" s="840" t="s">
        <v>1878</v>
      </c>
      <c r="J91" s="10" t="s">
        <v>1882</v>
      </c>
      <c r="K91" s="10"/>
      <c r="L91" s="162">
        <v>1981</v>
      </c>
      <c r="M91" s="788" t="s">
        <v>4329</v>
      </c>
      <c r="N91" s="789" t="s">
        <v>4531</v>
      </c>
      <c r="O91" s="790"/>
      <c r="P91" s="791"/>
      <c r="AE91" s="757">
        <v>6937</v>
      </c>
    </row>
    <row r="92" spans="2:31">
      <c r="B92" s="841">
        <v>86</v>
      </c>
      <c r="C92" s="842">
        <v>356</v>
      </c>
      <c r="D92" s="843" t="s">
        <v>3232</v>
      </c>
      <c r="E92" s="844" t="s">
        <v>3795</v>
      </c>
      <c r="F92" s="844" t="s">
        <v>2913</v>
      </c>
      <c r="G92" s="845" t="s">
        <v>4694</v>
      </c>
      <c r="H92" s="846">
        <v>2</v>
      </c>
      <c r="I92" s="892" t="s">
        <v>3930</v>
      </c>
      <c r="J92" s="844" t="s">
        <v>3995</v>
      </c>
      <c r="K92" s="844"/>
      <c r="L92" s="845">
        <v>1996</v>
      </c>
      <c r="M92" s="847" t="s">
        <v>4329</v>
      </c>
      <c r="N92" s="789" t="s">
        <v>4531</v>
      </c>
      <c r="O92" s="790"/>
      <c r="P92" s="791"/>
      <c r="Q92" s="799" t="s">
        <v>4976</v>
      </c>
      <c r="AE92" s="757">
        <v>7610</v>
      </c>
    </row>
    <row r="93" spans="2:31" ht="15.75" thickBot="1">
      <c r="B93" s="848">
        <v>87</v>
      </c>
      <c r="C93" s="849">
        <v>357</v>
      </c>
      <c r="D93" s="850" t="s">
        <v>3232</v>
      </c>
      <c r="E93" s="851" t="s">
        <v>3795</v>
      </c>
      <c r="F93" s="851" t="s">
        <v>3996</v>
      </c>
      <c r="G93" s="852" t="s">
        <v>3689</v>
      </c>
      <c r="H93" s="853">
        <v>2</v>
      </c>
      <c r="I93" s="854" t="s">
        <v>3224</v>
      </c>
      <c r="J93" s="851" t="s">
        <v>3225</v>
      </c>
      <c r="K93" s="851"/>
      <c r="L93" s="852">
        <v>2008</v>
      </c>
      <c r="M93" s="855" t="s">
        <v>4329</v>
      </c>
      <c r="N93" s="856" t="s">
        <v>4531</v>
      </c>
      <c r="O93" s="857"/>
      <c r="P93" s="858"/>
      <c r="Q93" s="799" t="s">
        <v>3895</v>
      </c>
      <c r="AE93" s="757">
        <v>6709</v>
      </c>
    </row>
    <row r="94" spans="2:31" ht="3" customHeight="1" thickBot="1"/>
    <row r="95" spans="2:31">
      <c r="B95" s="760"/>
      <c r="C95" s="761" t="s">
        <v>1099</v>
      </c>
      <c r="D95" s="762"/>
      <c r="E95" s="761" t="s">
        <v>5007</v>
      </c>
      <c r="F95" s="761" t="s">
        <v>2269</v>
      </c>
      <c r="G95" s="761" t="s">
        <v>5006</v>
      </c>
      <c r="H95" s="763" t="s">
        <v>950</v>
      </c>
      <c r="I95" s="764" t="s">
        <v>5003</v>
      </c>
      <c r="J95" s="761" t="s">
        <v>950</v>
      </c>
      <c r="K95" s="761"/>
      <c r="L95" s="761" t="s">
        <v>5005</v>
      </c>
      <c r="M95" s="762"/>
      <c r="N95" s="761" t="s">
        <v>1915</v>
      </c>
      <c r="O95" s="762" t="s">
        <v>1916</v>
      </c>
      <c r="P95" s="762" t="s">
        <v>1916</v>
      </c>
      <c r="AE95" s="757">
        <v>6710</v>
      </c>
    </row>
    <row r="96" spans="2:31" ht="15.75" thickBot="1">
      <c r="B96" s="765" t="s">
        <v>491</v>
      </c>
      <c r="C96" s="766" t="s">
        <v>1835</v>
      </c>
      <c r="D96" s="767" t="s">
        <v>485</v>
      </c>
      <c r="E96" s="766"/>
      <c r="F96" s="766"/>
      <c r="G96" s="766"/>
      <c r="H96" s="163" t="s">
        <v>3231</v>
      </c>
      <c r="I96" s="769" t="s">
        <v>1836</v>
      </c>
      <c r="J96" s="766" t="s">
        <v>1917</v>
      </c>
      <c r="K96" s="766"/>
      <c r="L96" s="766" t="s">
        <v>3230</v>
      </c>
      <c r="M96" s="767" t="s">
        <v>1918</v>
      </c>
      <c r="N96" s="770" t="s">
        <v>473</v>
      </c>
      <c r="O96" s="771">
        <v>1</v>
      </c>
      <c r="P96" s="771">
        <v>2</v>
      </c>
      <c r="AE96" s="757">
        <v>6761</v>
      </c>
    </row>
    <row r="97" spans="2:17">
      <c r="B97" s="772">
        <v>1</v>
      </c>
      <c r="C97" s="773">
        <v>502</v>
      </c>
      <c r="D97" s="774" t="s">
        <v>3232</v>
      </c>
      <c r="E97" s="775" t="s">
        <v>3226</v>
      </c>
      <c r="F97" s="775" t="s">
        <v>3227</v>
      </c>
      <c r="G97" s="776" t="s">
        <v>3227</v>
      </c>
      <c r="H97" s="777">
        <v>1</v>
      </c>
      <c r="I97" s="778" t="s">
        <v>3228</v>
      </c>
      <c r="J97" s="776" t="s">
        <v>3229</v>
      </c>
      <c r="K97" s="776"/>
      <c r="L97" s="776">
        <v>1959</v>
      </c>
      <c r="M97" s="859" t="s">
        <v>4329</v>
      </c>
      <c r="N97" s="780" t="s">
        <v>4531</v>
      </c>
      <c r="O97" s="781"/>
      <c r="P97" s="782"/>
    </row>
    <row r="98" spans="2:17">
      <c r="B98" s="783">
        <v>2</v>
      </c>
      <c r="C98" s="784" t="s">
        <v>4497</v>
      </c>
      <c r="D98" s="785" t="s">
        <v>4498</v>
      </c>
      <c r="E98" s="10" t="s">
        <v>4049</v>
      </c>
      <c r="F98" s="10" t="s">
        <v>4050</v>
      </c>
      <c r="G98" s="162" t="s">
        <v>1415</v>
      </c>
      <c r="H98" s="786">
        <v>2</v>
      </c>
      <c r="I98" s="787" t="s">
        <v>1979</v>
      </c>
      <c r="J98" s="162" t="s">
        <v>1416</v>
      </c>
      <c r="K98" s="162"/>
      <c r="L98" s="162">
        <v>1993</v>
      </c>
      <c r="M98" s="860" t="s">
        <v>1929</v>
      </c>
      <c r="N98" s="789" t="s">
        <v>4531</v>
      </c>
      <c r="O98" s="790"/>
      <c r="P98" s="791"/>
    </row>
    <row r="99" spans="2:17">
      <c r="B99" s="783">
        <v>3</v>
      </c>
      <c r="C99" s="784" t="s">
        <v>289</v>
      </c>
      <c r="D99" s="785" t="s">
        <v>1056</v>
      </c>
      <c r="E99" s="10" t="s">
        <v>4872</v>
      </c>
      <c r="F99" s="10" t="s">
        <v>1057</v>
      </c>
      <c r="G99" s="162" t="s">
        <v>293</v>
      </c>
      <c r="H99" s="786">
        <v>2</v>
      </c>
      <c r="I99" s="787" t="s">
        <v>1732</v>
      </c>
      <c r="J99" s="162" t="s">
        <v>294</v>
      </c>
      <c r="K99" s="162"/>
      <c r="L99" s="162">
        <v>1967</v>
      </c>
      <c r="M99" s="860" t="s">
        <v>1929</v>
      </c>
      <c r="N99" s="789" t="s">
        <v>4531</v>
      </c>
      <c r="O99" s="790"/>
      <c r="P99" s="791"/>
    </row>
    <row r="100" spans="2:17">
      <c r="B100" s="783">
        <v>4</v>
      </c>
      <c r="C100" s="791" t="s">
        <v>295</v>
      </c>
      <c r="D100" s="785" t="s">
        <v>296</v>
      </c>
      <c r="E100" s="10" t="s">
        <v>1924</v>
      </c>
      <c r="F100" s="10" t="s">
        <v>3258</v>
      </c>
      <c r="G100" s="162" t="s">
        <v>3259</v>
      </c>
      <c r="H100" s="786">
        <v>2</v>
      </c>
      <c r="I100" s="787" t="s">
        <v>1576</v>
      </c>
      <c r="J100" s="162" t="s">
        <v>3260</v>
      </c>
      <c r="K100" s="162"/>
      <c r="L100" s="162">
        <v>1980</v>
      </c>
      <c r="M100" s="860" t="s">
        <v>2658</v>
      </c>
      <c r="N100" s="789" t="s">
        <v>4531</v>
      </c>
      <c r="O100" s="790"/>
      <c r="P100" s="791"/>
      <c r="Q100" s="799" t="s">
        <v>3895</v>
      </c>
    </row>
    <row r="101" spans="2:17" ht="15.75" thickBot="1">
      <c r="B101" s="848">
        <v>5</v>
      </c>
      <c r="C101" s="861">
        <v>214</v>
      </c>
      <c r="D101" s="850" t="s">
        <v>206</v>
      </c>
      <c r="E101" s="851" t="s">
        <v>4872</v>
      </c>
      <c r="F101" s="851" t="s">
        <v>2659</v>
      </c>
      <c r="G101" s="852" t="s">
        <v>4694</v>
      </c>
      <c r="H101" s="862">
        <v>2</v>
      </c>
      <c r="I101" s="854" t="s">
        <v>2660</v>
      </c>
      <c r="J101" s="852">
        <v>58646</v>
      </c>
      <c r="K101" s="852"/>
      <c r="L101" s="852">
        <v>1960</v>
      </c>
      <c r="M101" s="863" t="s">
        <v>1929</v>
      </c>
      <c r="N101" s="856" t="s">
        <v>4531</v>
      </c>
      <c r="O101" s="857"/>
      <c r="P101" s="858"/>
    </row>
    <row r="104" spans="2:17" ht="15.75">
      <c r="C104" s="942" t="s">
        <v>1364</v>
      </c>
      <c r="D104" s="943">
        <v>332</v>
      </c>
    </row>
    <row r="105" spans="2:17">
      <c r="C105" s="811" t="s">
        <v>485</v>
      </c>
      <c r="D105" s="10" t="s">
        <v>3232</v>
      </c>
    </row>
    <row r="106" spans="2:17">
      <c r="C106" s="811" t="s">
        <v>5007</v>
      </c>
      <c r="D106" s="10" t="s">
        <v>3795</v>
      </c>
    </row>
    <row r="107" spans="2:17">
      <c r="C107" s="811" t="s">
        <v>2269</v>
      </c>
      <c r="D107" s="10" t="s">
        <v>2913</v>
      </c>
    </row>
    <row r="108" spans="2:17">
      <c r="C108" s="811" t="s">
        <v>5006</v>
      </c>
      <c r="D108" s="162">
        <v>40</v>
      </c>
    </row>
    <row r="109" spans="2:17">
      <c r="C109" s="915" t="s">
        <v>3189</v>
      </c>
      <c r="D109" s="828">
        <v>2</v>
      </c>
    </row>
    <row r="110" spans="2:17">
      <c r="C110" s="811" t="s">
        <v>1087</v>
      </c>
      <c r="D110" s="895" t="s">
        <v>248</v>
      </c>
    </row>
    <row r="111" spans="2:17">
      <c r="C111" s="811" t="s">
        <v>1384</v>
      </c>
      <c r="D111" s="797" t="s">
        <v>2914</v>
      </c>
    </row>
    <row r="112" spans="2:17">
      <c r="C112" s="811" t="s">
        <v>1363</v>
      </c>
      <c r="D112" s="162">
        <v>1980</v>
      </c>
    </row>
  </sheetData>
  <mergeCells count="1">
    <mergeCell ref="M3:P3"/>
  </mergeCells>
  <phoneticPr fontId="0" type="noConversion"/>
  <pageMargins left="0.35" right="0.75" top="0.36" bottom="1" header="0" footer="0"/>
  <pageSetup paperSize="9" scale="150" orientation="portrait" horizontalDpi="120" verticalDpi="72" r:id="rId1"/>
  <headerFooter alignWithMargins="0"/>
</worksheet>
</file>

<file path=xl/worksheets/sheet17.xml><?xml version="1.0" encoding="utf-8"?>
<worksheet xmlns="http://schemas.openxmlformats.org/spreadsheetml/2006/main" xmlns:r="http://schemas.openxmlformats.org/officeDocument/2006/relationships">
  <sheetPr codeName="Hoja16">
    <pageSetUpPr fitToPage="1"/>
  </sheetPr>
  <dimension ref="B1:V40"/>
  <sheetViews>
    <sheetView workbookViewId="0">
      <selection activeCell="J26" sqref="J26"/>
    </sheetView>
  </sheetViews>
  <sheetFormatPr baseColWidth="10" defaultRowHeight="12.75" outlineLevelCol="1"/>
  <cols>
    <col min="1" max="2" width="3.7109375" customWidth="1"/>
    <col min="3" max="4" width="11.42578125" outlineLevel="1"/>
    <col min="5" max="5" width="11.7109375" bestFit="1" customWidth="1" outlineLevel="1"/>
    <col min="6" max="6" width="18.7109375" bestFit="1" customWidth="1" outlineLevel="1"/>
    <col min="7" max="7" width="13.28515625" bestFit="1" customWidth="1" outlineLevel="1"/>
    <col min="8" max="8" width="13.85546875" bestFit="1" customWidth="1" outlineLevel="1"/>
    <col min="9" max="9" width="0.85546875" customWidth="1"/>
    <col min="10" max="11" width="11.42578125" outlineLevel="1"/>
    <col min="12" max="12" width="12.28515625" customWidth="1" outlineLevel="1"/>
    <col min="13" max="13" width="18.7109375" customWidth="1" outlineLevel="1"/>
    <col min="14" max="14" width="13.28515625" customWidth="1" outlineLevel="1"/>
    <col min="15" max="15" width="13.85546875" customWidth="1" outlineLevel="1"/>
    <col min="16" max="16" width="0.85546875" customWidth="1"/>
    <col min="17" max="17" width="11.42578125" outlineLevel="1"/>
    <col min="18" max="18" width="9" customWidth="1" outlineLevel="1"/>
    <col min="19" max="19" width="10.28515625" customWidth="1" outlineLevel="1"/>
    <col min="20" max="20" width="19.7109375" customWidth="1" outlineLevel="1"/>
    <col min="21" max="21" width="12.7109375" customWidth="1" outlineLevel="1"/>
    <col min="22" max="22" width="13.85546875" customWidth="1" outlineLevel="1"/>
  </cols>
  <sheetData>
    <row r="1" spans="2:22" ht="13.5" thickBot="1">
      <c r="B1" t="s">
        <v>1740</v>
      </c>
    </row>
    <row r="2" spans="2:22">
      <c r="C2" s="3924" t="s">
        <v>3454</v>
      </c>
      <c r="D2" s="3925"/>
      <c r="E2" s="3925"/>
      <c r="F2" s="3925"/>
      <c r="G2" s="3925"/>
      <c r="H2" s="3926"/>
      <c r="I2" s="1020"/>
      <c r="J2" s="3924" t="s">
        <v>3455</v>
      </c>
      <c r="K2" s="3925"/>
      <c r="L2" s="3925"/>
      <c r="M2" s="3925"/>
      <c r="N2" s="3925"/>
      <c r="O2" s="3926"/>
      <c r="P2" s="1020"/>
      <c r="Q2" s="3924" t="s">
        <v>3456</v>
      </c>
      <c r="R2" s="3925"/>
      <c r="S2" s="3925"/>
      <c r="T2" s="3925"/>
      <c r="U2" s="3925"/>
      <c r="V2" s="3926"/>
    </row>
    <row r="3" spans="2:22">
      <c r="C3" s="1024" t="s">
        <v>1575</v>
      </c>
      <c r="D3" s="1021" t="s">
        <v>3591</v>
      </c>
      <c r="E3" s="1021" t="s">
        <v>2269</v>
      </c>
      <c r="F3" s="1021" t="s">
        <v>886</v>
      </c>
      <c r="G3" s="1021" t="s">
        <v>887</v>
      </c>
      <c r="H3" s="1025" t="s">
        <v>888</v>
      </c>
      <c r="I3" s="1033"/>
      <c r="J3" s="1024" t="s">
        <v>1575</v>
      </c>
      <c r="K3" s="1021" t="s">
        <v>3591</v>
      </c>
      <c r="L3" s="1021" t="s">
        <v>885</v>
      </c>
      <c r="M3" s="1021" t="s">
        <v>886</v>
      </c>
      <c r="N3" s="1021" t="s">
        <v>887</v>
      </c>
      <c r="O3" s="1025" t="s">
        <v>888</v>
      </c>
      <c r="P3" s="1033"/>
      <c r="Q3" s="1024" t="s">
        <v>1575</v>
      </c>
      <c r="R3" s="1021" t="s">
        <v>3591</v>
      </c>
      <c r="S3" s="1021" t="s">
        <v>885</v>
      </c>
      <c r="T3" s="1021" t="s">
        <v>886</v>
      </c>
      <c r="U3" s="1021" t="s">
        <v>887</v>
      </c>
      <c r="V3" s="1025" t="s">
        <v>888</v>
      </c>
    </row>
    <row r="4" spans="2:22" ht="13.5">
      <c r="B4" s="950">
        <v>1</v>
      </c>
      <c r="C4" s="1026">
        <v>102</v>
      </c>
      <c r="D4" s="1022" t="s">
        <v>3700</v>
      </c>
      <c r="E4" s="1019" t="s">
        <v>3181</v>
      </c>
      <c r="F4" s="9" t="s">
        <v>1741</v>
      </c>
      <c r="G4" s="1023"/>
      <c r="H4" s="1027" t="s">
        <v>5018</v>
      </c>
      <c r="I4" s="1034"/>
      <c r="J4" s="1026">
        <v>205</v>
      </c>
      <c r="K4" s="1022" t="s">
        <v>57</v>
      </c>
      <c r="L4" s="1019" t="s">
        <v>3233</v>
      </c>
      <c r="M4" s="9" t="s">
        <v>1741</v>
      </c>
      <c r="N4" s="1023"/>
      <c r="O4" s="1027"/>
      <c r="P4" s="1034"/>
      <c r="Q4" s="1026">
        <v>302</v>
      </c>
      <c r="R4" s="1022" t="s">
        <v>1684</v>
      </c>
      <c r="S4" s="1019"/>
      <c r="T4" s="9" t="s">
        <v>1741</v>
      </c>
      <c r="U4" s="1023"/>
      <c r="V4" s="1027"/>
    </row>
    <row r="5" spans="2:22" ht="13.5">
      <c r="B5" s="950">
        <v>2</v>
      </c>
      <c r="C5" s="1026">
        <v>103</v>
      </c>
      <c r="D5" s="1022" t="s">
        <v>3701</v>
      </c>
      <c r="E5" s="1019" t="s">
        <v>3181</v>
      </c>
      <c r="F5" s="9" t="s">
        <v>1741</v>
      </c>
      <c r="G5" s="1023"/>
      <c r="H5" s="1027" t="s">
        <v>5018</v>
      </c>
      <c r="I5" s="1034"/>
      <c r="J5" s="1026">
        <v>213</v>
      </c>
      <c r="K5" s="1022" t="s">
        <v>4361</v>
      </c>
      <c r="L5" s="1019" t="s">
        <v>3233</v>
      </c>
      <c r="M5" s="9" t="s">
        <v>1741</v>
      </c>
      <c r="N5" s="1023"/>
      <c r="O5" s="1027"/>
      <c r="P5" s="1034"/>
      <c r="Q5" s="1026">
        <v>308</v>
      </c>
      <c r="R5" s="1022" t="s">
        <v>3532</v>
      </c>
      <c r="S5" s="1019"/>
      <c r="T5" s="9" t="s">
        <v>1741</v>
      </c>
      <c r="U5" s="1023"/>
      <c r="V5" s="1027"/>
    </row>
    <row r="6" spans="2:22" ht="13.5">
      <c r="B6" s="950">
        <v>3</v>
      </c>
      <c r="C6" s="1026">
        <v>109</v>
      </c>
      <c r="D6" s="1022" t="s">
        <v>4372</v>
      </c>
      <c r="E6" s="1019" t="s">
        <v>3181</v>
      </c>
      <c r="F6" s="9" t="s">
        <v>1741</v>
      </c>
      <c r="G6" s="1023"/>
      <c r="H6" s="1027" t="s">
        <v>5018</v>
      </c>
      <c r="I6" s="1034"/>
      <c r="J6" s="1026">
        <v>222</v>
      </c>
      <c r="K6" s="1022" t="s">
        <v>2636</v>
      </c>
      <c r="L6" s="1019" t="s">
        <v>3233</v>
      </c>
      <c r="M6" s="9" t="s">
        <v>1741</v>
      </c>
      <c r="N6" s="1023"/>
      <c r="O6" s="1027"/>
      <c r="P6" s="1034"/>
      <c r="Q6" s="1026">
        <v>315</v>
      </c>
      <c r="R6" s="1022" t="s">
        <v>2719</v>
      </c>
      <c r="S6" s="1019"/>
      <c r="T6" s="9" t="s">
        <v>1741</v>
      </c>
      <c r="U6" s="1023"/>
      <c r="V6" s="1027"/>
    </row>
    <row r="7" spans="2:22" ht="13.5">
      <c r="B7" s="950">
        <v>4</v>
      </c>
      <c r="C7" s="1026">
        <v>110</v>
      </c>
      <c r="D7" s="1022" t="s">
        <v>4373</v>
      </c>
      <c r="E7" s="1019" t="s">
        <v>3181</v>
      </c>
      <c r="F7" s="9" t="s">
        <v>1741</v>
      </c>
      <c r="G7" s="1023"/>
      <c r="H7" s="1027" t="s">
        <v>5018</v>
      </c>
      <c r="I7" s="1034"/>
      <c r="J7" s="1026">
        <v>234</v>
      </c>
      <c r="K7" s="1022" t="s">
        <v>669</v>
      </c>
      <c r="L7" s="1019" t="s">
        <v>5000</v>
      </c>
      <c r="M7" s="9" t="s">
        <v>4</v>
      </c>
      <c r="N7" s="1023">
        <v>40037</v>
      </c>
      <c r="O7" s="1027">
        <v>43409</v>
      </c>
      <c r="P7" s="1034"/>
      <c r="Q7" s="1026">
        <v>332</v>
      </c>
      <c r="R7" s="1022" t="s">
        <v>248</v>
      </c>
      <c r="S7" s="1019"/>
      <c r="T7" s="9" t="s">
        <v>1741</v>
      </c>
      <c r="U7" s="1023"/>
      <c r="V7" s="1027"/>
    </row>
    <row r="8" spans="2:22" ht="13.5">
      <c r="B8" s="950">
        <v>5</v>
      </c>
      <c r="C8" s="1026">
        <v>117</v>
      </c>
      <c r="D8" s="1022" t="s">
        <v>2133</v>
      </c>
      <c r="E8" s="1019" t="s">
        <v>3181</v>
      </c>
      <c r="F8" s="9" t="s">
        <v>1741</v>
      </c>
      <c r="G8" s="1023"/>
      <c r="H8" s="1027" t="s">
        <v>5018</v>
      </c>
      <c r="I8" s="1034"/>
      <c r="J8" s="1026">
        <v>231</v>
      </c>
      <c r="K8" s="1022" t="s">
        <v>279</v>
      </c>
      <c r="L8" s="1019" t="s">
        <v>839</v>
      </c>
      <c r="M8" s="9" t="s">
        <v>3774</v>
      </c>
      <c r="N8" s="1023">
        <v>40037</v>
      </c>
      <c r="O8" s="1027">
        <v>43409</v>
      </c>
      <c r="P8" s="1034"/>
      <c r="Q8" s="1026">
        <v>338</v>
      </c>
      <c r="R8" s="1022" t="s">
        <v>2455</v>
      </c>
      <c r="S8" s="1019"/>
      <c r="T8" s="9" t="s">
        <v>1741</v>
      </c>
      <c r="U8" s="1023"/>
      <c r="V8" s="1027"/>
    </row>
    <row r="9" spans="2:22" ht="13.5">
      <c r="B9" s="950">
        <v>6</v>
      </c>
      <c r="C9" s="1026">
        <v>118</v>
      </c>
      <c r="D9" s="1022" t="s">
        <v>4889</v>
      </c>
      <c r="E9" s="1019" t="s">
        <v>3181</v>
      </c>
      <c r="F9" s="9" t="s">
        <v>1741</v>
      </c>
      <c r="G9" s="1023"/>
      <c r="H9" s="1027" t="s">
        <v>5018</v>
      </c>
      <c r="I9" s="1034"/>
      <c r="J9" s="1026">
        <v>233</v>
      </c>
      <c r="K9" s="1022" t="s">
        <v>4679</v>
      </c>
      <c r="L9" s="1019" t="s">
        <v>839</v>
      </c>
      <c r="M9" s="9" t="s">
        <v>4245</v>
      </c>
      <c r="N9" s="1023">
        <v>40037</v>
      </c>
      <c r="O9" s="1027">
        <v>43409</v>
      </c>
      <c r="P9" s="1034"/>
      <c r="Q9" s="1026">
        <v>342</v>
      </c>
      <c r="R9" s="1022" t="s">
        <v>4861</v>
      </c>
      <c r="S9" s="1019"/>
      <c r="T9" s="9" t="s">
        <v>1741</v>
      </c>
      <c r="U9" s="1023"/>
      <c r="V9" s="1027"/>
    </row>
    <row r="10" spans="2:22" ht="13.5">
      <c r="B10" s="950">
        <v>7</v>
      </c>
      <c r="C10" s="1026">
        <v>121</v>
      </c>
      <c r="D10" s="1022" t="s">
        <v>4012</v>
      </c>
      <c r="E10" s="1019" t="s">
        <v>3181</v>
      </c>
      <c r="F10" s="9" t="s">
        <v>1741</v>
      </c>
      <c r="G10" s="1023"/>
      <c r="H10" s="1027" t="s">
        <v>5018</v>
      </c>
      <c r="I10" s="1034"/>
      <c r="J10" s="1026">
        <v>228</v>
      </c>
      <c r="K10" s="1022" t="s">
        <v>4363</v>
      </c>
      <c r="L10" s="1019" t="s">
        <v>3233</v>
      </c>
      <c r="M10" s="9" t="s">
        <v>572</v>
      </c>
      <c r="N10" s="1023">
        <v>40037</v>
      </c>
      <c r="O10" s="1027">
        <v>43409</v>
      </c>
      <c r="P10" s="1034"/>
      <c r="Q10" s="1026">
        <v>344</v>
      </c>
      <c r="R10" s="1022" t="s">
        <v>1878</v>
      </c>
      <c r="S10" s="1019"/>
      <c r="T10" s="9" t="s">
        <v>1741</v>
      </c>
      <c r="U10" s="1023"/>
      <c r="V10" s="1027"/>
    </row>
    <row r="11" spans="2:22" ht="13.5">
      <c r="B11" s="950">
        <v>8</v>
      </c>
      <c r="C11" s="1026">
        <v>159</v>
      </c>
      <c r="D11" s="1022" t="s">
        <v>1115</v>
      </c>
      <c r="E11" s="1019" t="s">
        <v>3181</v>
      </c>
      <c r="F11" s="9" t="s">
        <v>1741</v>
      </c>
      <c r="G11" s="1023"/>
      <c r="H11" s="1027" t="s">
        <v>5018</v>
      </c>
      <c r="I11" s="1034"/>
      <c r="J11" s="1026">
        <v>225</v>
      </c>
      <c r="K11" s="1022" t="s">
        <v>1634</v>
      </c>
      <c r="L11" s="1019" t="s">
        <v>3233</v>
      </c>
      <c r="M11" s="9" t="s">
        <v>4722</v>
      </c>
      <c r="N11" s="1023">
        <v>40037</v>
      </c>
      <c r="O11" s="1027">
        <v>43409</v>
      </c>
      <c r="P11" s="1034"/>
      <c r="Q11" s="1026">
        <v>356</v>
      </c>
      <c r="R11" s="1022" t="s">
        <v>3930</v>
      </c>
      <c r="S11" s="1019"/>
      <c r="T11" s="9" t="s">
        <v>1741</v>
      </c>
      <c r="U11" s="1023"/>
      <c r="V11" s="1027"/>
    </row>
    <row r="12" spans="2:22" ht="13.5">
      <c r="B12" s="950">
        <v>9</v>
      </c>
      <c r="C12" s="1026">
        <v>155</v>
      </c>
      <c r="D12" s="1022" t="s">
        <v>129</v>
      </c>
      <c r="E12" s="1019" t="s">
        <v>3181</v>
      </c>
      <c r="F12" s="9" t="s">
        <v>2964</v>
      </c>
      <c r="G12" s="1023">
        <v>40037</v>
      </c>
      <c r="H12" s="1027">
        <v>43409</v>
      </c>
      <c r="I12" s="1034"/>
      <c r="J12" s="1026">
        <v>217</v>
      </c>
      <c r="K12" s="1022" t="s">
        <v>1097</v>
      </c>
      <c r="L12" s="1019" t="s">
        <v>3233</v>
      </c>
      <c r="M12" s="9" t="s">
        <v>2201</v>
      </c>
      <c r="N12" s="1023">
        <v>40037</v>
      </c>
      <c r="O12" s="1027">
        <v>43409</v>
      </c>
      <c r="P12" s="1034"/>
      <c r="Q12" s="1026">
        <v>357</v>
      </c>
      <c r="R12" s="1022" t="s">
        <v>3224</v>
      </c>
      <c r="S12" s="1019"/>
      <c r="T12" s="9" t="s">
        <v>1741</v>
      </c>
      <c r="U12" s="1023"/>
      <c r="V12" s="1027"/>
    </row>
    <row r="13" spans="2:22" ht="13.5">
      <c r="B13" s="950">
        <v>10</v>
      </c>
      <c r="C13" s="1026">
        <v>160</v>
      </c>
      <c r="D13" s="1022" t="s">
        <v>1116</v>
      </c>
      <c r="E13" s="1019" t="s">
        <v>3181</v>
      </c>
      <c r="F13" s="9" t="s">
        <v>2595</v>
      </c>
      <c r="G13" s="1023">
        <v>40037</v>
      </c>
      <c r="H13" s="1027">
        <v>43409</v>
      </c>
      <c r="I13" s="1034"/>
      <c r="J13" s="1026">
        <v>216</v>
      </c>
      <c r="K13" s="1022" t="s">
        <v>4204</v>
      </c>
      <c r="L13" s="1019" t="s">
        <v>3233</v>
      </c>
      <c r="M13" s="9" t="s">
        <v>1478</v>
      </c>
      <c r="N13" s="1023">
        <v>40037</v>
      </c>
      <c r="O13" s="1027">
        <v>43409</v>
      </c>
      <c r="P13" s="1034"/>
      <c r="Q13" s="1026">
        <v>324</v>
      </c>
      <c r="R13" s="1022" t="s">
        <v>2765</v>
      </c>
      <c r="S13" s="1019" t="s">
        <v>2813</v>
      </c>
      <c r="T13" s="9" t="s">
        <v>2995</v>
      </c>
      <c r="U13" s="1023">
        <v>39990</v>
      </c>
      <c r="V13" s="1027">
        <v>43409</v>
      </c>
    </row>
    <row r="14" spans="2:22" ht="13.5">
      <c r="B14" s="950">
        <v>11</v>
      </c>
      <c r="C14" s="1026">
        <v>163</v>
      </c>
      <c r="D14" s="1022" t="s">
        <v>4655</v>
      </c>
      <c r="E14" s="1019" t="s">
        <v>3181</v>
      </c>
      <c r="F14" s="9" t="s">
        <v>4748</v>
      </c>
      <c r="G14" s="1023">
        <v>40037</v>
      </c>
      <c r="H14" s="1027">
        <v>43409</v>
      </c>
      <c r="I14" s="1034"/>
      <c r="J14" s="1026">
        <v>214</v>
      </c>
      <c r="K14" s="1022" t="s">
        <v>4364</v>
      </c>
      <c r="L14" s="1019" t="s">
        <v>3233</v>
      </c>
      <c r="M14" s="9" t="s">
        <v>82</v>
      </c>
      <c r="N14" s="1023">
        <v>40037</v>
      </c>
      <c r="O14" s="1027">
        <v>43409</v>
      </c>
      <c r="P14" s="1034"/>
      <c r="Q14" s="1026">
        <v>343</v>
      </c>
      <c r="R14" s="1022" t="s">
        <v>764</v>
      </c>
      <c r="S14" s="1019" t="s">
        <v>2913</v>
      </c>
      <c r="T14" s="9" t="s">
        <v>4639</v>
      </c>
      <c r="U14" s="1023">
        <v>39990</v>
      </c>
      <c r="V14" s="1027">
        <v>43409</v>
      </c>
    </row>
    <row r="15" spans="2:22" ht="13.5">
      <c r="B15" s="950">
        <v>12</v>
      </c>
      <c r="C15" s="1026">
        <v>119</v>
      </c>
      <c r="D15" s="1022" t="s">
        <v>4890</v>
      </c>
      <c r="E15" s="1019" t="s">
        <v>3181</v>
      </c>
      <c r="F15" s="9" t="s">
        <v>2307</v>
      </c>
      <c r="G15" s="1023">
        <v>40037</v>
      </c>
      <c r="H15" s="1027">
        <v>43409</v>
      </c>
      <c r="I15" s="1034"/>
      <c r="J15" s="1026">
        <v>210</v>
      </c>
      <c r="K15" s="1022" t="s">
        <v>3007</v>
      </c>
      <c r="L15" s="1019" t="s">
        <v>3233</v>
      </c>
      <c r="M15" s="9" t="s">
        <v>1904</v>
      </c>
      <c r="N15" s="1023">
        <v>40037</v>
      </c>
      <c r="O15" s="1027">
        <v>43409</v>
      </c>
      <c r="P15" s="1034"/>
      <c r="Q15" s="1026">
        <v>339</v>
      </c>
      <c r="R15" s="1022" t="s">
        <v>1583</v>
      </c>
      <c r="S15" s="1019" t="s">
        <v>2913</v>
      </c>
      <c r="T15" s="9" t="s">
        <v>3958</v>
      </c>
      <c r="U15" s="1023">
        <v>39990</v>
      </c>
      <c r="V15" s="1027">
        <v>43409</v>
      </c>
    </row>
    <row r="16" spans="2:22" ht="13.5">
      <c r="B16" s="950">
        <v>13</v>
      </c>
      <c r="C16" s="1026">
        <v>108</v>
      </c>
      <c r="D16" s="1022" t="s">
        <v>3800</v>
      </c>
      <c r="E16" s="1019" t="s">
        <v>3181</v>
      </c>
      <c r="F16" s="9" t="s">
        <v>4605</v>
      </c>
      <c r="G16" s="1023">
        <v>40037</v>
      </c>
      <c r="H16" s="1027">
        <v>43409</v>
      </c>
      <c r="I16" s="1034"/>
      <c r="J16" s="1026">
        <v>209</v>
      </c>
      <c r="K16" s="1022" t="s">
        <v>4323</v>
      </c>
      <c r="L16" s="1019" t="s">
        <v>3233</v>
      </c>
      <c r="M16" s="9" t="s">
        <v>3734</v>
      </c>
      <c r="N16" s="1023">
        <v>40037</v>
      </c>
      <c r="O16" s="1027">
        <v>43409</v>
      </c>
      <c r="P16" s="1034"/>
      <c r="Q16" s="1026"/>
      <c r="R16" s="1022"/>
      <c r="S16" s="1019"/>
      <c r="T16" s="9"/>
      <c r="U16" s="1023"/>
      <c r="V16" s="1027"/>
    </row>
    <row r="17" spans="2:22" ht="13.5">
      <c r="B17" s="950">
        <v>14</v>
      </c>
      <c r="C17" s="1026">
        <v>106</v>
      </c>
      <c r="D17" s="1022" t="s">
        <v>3798</v>
      </c>
      <c r="E17" s="1019" t="s">
        <v>3181</v>
      </c>
      <c r="F17" s="9" t="s">
        <v>2996</v>
      </c>
      <c r="G17" s="1023">
        <v>40037</v>
      </c>
      <c r="H17" s="1027">
        <v>43409</v>
      </c>
      <c r="I17" s="1034"/>
      <c r="J17" s="1026">
        <v>204</v>
      </c>
      <c r="K17" s="1022" t="s">
        <v>2666</v>
      </c>
      <c r="L17" s="1019" t="s">
        <v>3233</v>
      </c>
      <c r="M17" s="9" t="s">
        <v>2812</v>
      </c>
      <c r="N17" s="1023">
        <v>40037</v>
      </c>
      <c r="O17" s="1027">
        <v>43409</v>
      </c>
      <c r="P17" s="1034"/>
      <c r="Q17" s="1026"/>
      <c r="R17" s="1022"/>
      <c r="S17" s="1019"/>
      <c r="T17" s="9"/>
      <c r="U17" s="1023"/>
      <c r="V17" s="1027"/>
    </row>
    <row r="18" spans="2:22" ht="13.5">
      <c r="B18" s="950">
        <v>15</v>
      </c>
      <c r="C18" s="1026">
        <v>161</v>
      </c>
      <c r="D18" s="1022" t="s">
        <v>1117</v>
      </c>
      <c r="E18" s="1019" t="s">
        <v>3181</v>
      </c>
      <c r="F18" s="9" t="s">
        <v>4246</v>
      </c>
      <c r="G18" s="1023">
        <v>40014</v>
      </c>
      <c r="H18" s="1027">
        <v>43409</v>
      </c>
      <c r="I18" s="1034"/>
      <c r="J18" s="1026">
        <v>202</v>
      </c>
      <c r="K18" s="1022" t="s">
        <v>861</v>
      </c>
      <c r="L18" s="1019" t="s">
        <v>3233</v>
      </c>
      <c r="M18" s="9" t="s">
        <v>3553</v>
      </c>
      <c r="N18" s="1023">
        <v>40014</v>
      </c>
      <c r="O18" s="1027">
        <v>43409</v>
      </c>
      <c r="P18" s="1034"/>
      <c r="Q18" s="1026"/>
      <c r="R18" s="1022"/>
      <c r="S18" s="1019"/>
      <c r="T18" s="9"/>
      <c r="U18" s="1023"/>
      <c r="V18" s="1027"/>
    </row>
    <row r="19" spans="2:22" ht="13.5">
      <c r="B19" s="950">
        <v>16</v>
      </c>
      <c r="C19" s="1026">
        <v>123</v>
      </c>
      <c r="D19" s="1022" t="s">
        <v>813</v>
      </c>
      <c r="E19" s="1019" t="s">
        <v>3181</v>
      </c>
      <c r="F19" s="9" t="s">
        <v>4878</v>
      </c>
      <c r="G19" s="1023">
        <v>40014</v>
      </c>
      <c r="H19" s="1027">
        <v>43409</v>
      </c>
      <c r="I19" s="1034"/>
      <c r="J19" s="1026">
        <v>219</v>
      </c>
      <c r="K19" s="1022" t="s">
        <v>2101</v>
      </c>
      <c r="L19" s="1019" t="s">
        <v>3233</v>
      </c>
      <c r="M19" s="9" t="s">
        <v>4495</v>
      </c>
      <c r="N19" s="1023">
        <v>40014</v>
      </c>
      <c r="O19" s="1027">
        <v>43409</v>
      </c>
      <c r="P19" s="1034"/>
      <c r="Q19" s="1026"/>
      <c r="R19" s="1022"/>
      <c r="S19" s="1019"/>
      <c r="T19" s="9"/>
      <c r="U19" s="1023"/>
      <c r="V19" s="1027"/>
    </row>
    <row r="20" spans="2:22" ht="13.5">
      <c r="B20" s="950">
        <v>17</v>
      </c>
      <c r="C20" s="1026">
        <v>114</v>
      </c>
      <c r="D20" s="1022" t="s">
        <v>1257</v>
      </c>
      <c r="E20" s="1019" t="s">
        <v>3181</v>
      </c>
      <c r="F20" s="9" t="s">
        <v>4504</v>
      </c>
      <c r="G20" s="1023">
        <v>40014</v>
      </c>
      <c r="H20" s="1027">
        <v>43409</v>
      </c>
      <c r="I20" s="1034"/>
      <c r="J20" s="1026">
        <v>221</v>
      </c>
      <c r="K20" s="1022" t="s">
        <v>1106</v>
      </c>
      <c r="L20" s="1019" t="s">
        <v>3233</v>
      </c>
      <c r="M20" s="9" t="s">
        <v>4879</v>
      </c>
      <c r="N20" s="1023">
        <v>40014</v>
      </c>
      <c r="O20" s="1027">
        <v>43409</v>
      </c>
      <c r="P20" s="1034"/>
      <c r="Q20" s="1026"/>
      <c r="R20" s="1022"/>
      <c r="S20" s="1019"/>
      <c r="T20" s="9"/>
      <c r="U20" s="1023"/>
      <c r="V20" s="1027"/>
    </row>
    <row r="21" spans="2:22" ht="13.5">
      <c r="B21" s="950">
        <v>18</v>
      </c>
      <c r="C21" s="1026">
        <v>105</v>
      </c>
      <c r="D21" s="1022" t="s">
        <v>672</v>
      </c>
      <c r="E21" s="1019" t="s">
        <v>3181</v>
      </c>
      <c r="F21" s="9" t="s">
        <v>4104</v>
      </c>
      <c r="G21" s="1023">
        <v>40014</v>
      </c>
      <c r="H21" s="1027">
        <v>43409</v>
      </c>
      <c r="I21" s="1034"/>
      <c r="J21" s="1026">
        <v>224</v>
      </c>
      <c r="K21" s="1022" t="s">
        <v>4255</v>
      </c>
      <c r="L21" s="1019" t="s">
        <v>3233</v>
      </c>
      <c r="M21" s="9" t="s">
        <v>2704</v>
      </c>
      <c r="N21" s="1023">
        <v>40014</v>
      </c>
      <c r="O21" s="1027">
        <v>43409</v>
      </c>
      <c r="P21" s="1034"/>
      <c r="Q21" s="1026"/>
      <c r="R21" s="1022"/>
      <c r="S21" s="1019"/>
      <c r="T21" s="9"/>
      <c r="U21" s="1023"/>
      <c r="V21" s="1027"/>
    </row>
    <row r="22" spans="2:22" ht="13.5">
      <c r="B22" s="950">
        <v>19</v>
      </c>
      <c r="C22" s="1026">
        <v>111</v>
      </c>
      <c r="D22" s="1022" t="s">
        <v>4926</v>
      </c>
      <c r="E22" s="1019" t="s">
        <v>3181</v>
      </c>
      <c r="F22" s="9" t="s">
        <v>4638</v>
      </c>
      <c r="G22" s="1023">
        <v>40014</v>
      </c>
      <c r="H22" s="1027">
        <v>43409</v>
      </c>
      <c r="I22" s="1034"/>
      <c r="J22" s="1026">
        <v>226</v>
      </c>
      <c r="K22" s="1022" t="s">
        <v>1105</v>
      </c>
      <c r="L22" s="1019" t="s">
        <v>3233</v>
      </c>
      <c r="M22" s="9" t="s">
        <v>729</v>
      </c>
      <c r="N22" s="1023">
        <v>40014</v>
      </c>
      <c r="O22" s="1027">
        <v>43409</v>
      </c>
      <c r="P22" s="1034"/>
      <c r="Q22" s="1026"/>
      <c r="R22" s="1022"/>
      <c r="S22" s="1019"/>
      <c r="T22" s="9"/>
      <c r="U22" s="1023"/>
      <c r="V22" s="1027"/>
    </row>
    <row r="23" spans="2:22" ht="13.5">
      <c r="B23" s="950">
        <v>20</v>
      </c>
      <c r="C23" s="1026">
        <v>122</v>
      </c>
      <c r="D23" s="1022" t="s">
        <v>1444</v>
      </c>
      <c r="E23" s="1019" t="s">
        <v>3181</v>
      </c>
      <c r="F23" s="9" t="s">
        <v>4496</v>
      </c>
      <c r="G23" s="1023">
        <v>40014</v>
      </c>
      <c r="H23" s="1027">
        <v>43409</v>
      </c>
      <c r="I23" s="1034"/>
      <c r="J23" s="1026">
        <v>227</v>
      </c>
      <c r="K23" s="1022" t="s">
        <v>282</v>
      </c>
      <c r="L23" s="1019" t="s">
        <v>53</v>
      </c>
      <c r="M23" s="9" t="s">
        <v>3710</v>
      </c>
      <c r="N23" s="1023">
        <v>40014</v>
      </c>
      <c r="O23" s="1027">
        <v>43409</v>
      </c>
      <c r="P23" s="1034"/>
      <c r="Q23" s="1026"/>
      <c r="R23" s="1022"/>
      <c r="S23" s="1019"/>
      <c r="T23" s="9"/>
      <c r="U23" s="1023"/>
      <c r="V23" s="1027"/>
    </row>
    <row r="24" spans="2:22" ht="13.5">
      <c r="B24" s="950">
        <v>21</v>
      </c>
      <c r="C24" s="1026">
        <v>169</v>
      </c>
      <c r="D24" s="1022" t="s">
        <v>903</v>
      </c>
      <c r="E24" s="1019" t="s">
        <v>3181</v>
      </c>
      <c r="F24" s="9" t="s">
        <v>3180</v>
      </c>
      <c r="G24" s="1023">
        <v>40014</v>
      </c>
      <c r="H24" s="1027">
        <v>43409</v>
      </c>
      <c r="I24" s="1034"/>
      <c r="J24" s="1026">
        <v>230</v>
      </c>
      <c r="K24" s="1022" t="s">
        <v>497</v>
      </c>
      <c r="L24" s="1019" t="s">
        <v>839</v>
      </c>
      <c r="M24" s="9" t="s">
        <v>4301</v>
      </c>
      <c r="N24" s="1023">
        <v>40014</v>
      </c>
      <c r="O24" s="1027">
        <v>43409</v>
      </c>
      <c r="P24" s="1034"/>
      <c r="Q24" s="1026"/>
      <c r="R24" s="1022"/>
      <c r="S24" s="1019"/>
      <c r="T24" s="9"/>
      <c r="U24" s="1023"/>
      <c r="V24" s="1027"/>
    </row>
    <row r="25" spans="2:22" ht="13.5">
      <c r="B25" s="950">
        <v>22</v>
      </c>
      <c r="C25" s="1026">
        <v>170</v>
      </c>
      <c r="D25" s="1022" t="s">
        <v>904</v>
      </c>
      <c r="E25" s="1019" t="s">
        <v>3181</v>
      </c>
      <c r="F25" s="9" t="s">
        <v>3453</v>
      </c>
      <c r="G25" s="1023">
        <v>40014</v>
      </c>
      <c r="H25" s="1027">
        <v>43409</v>
      </c>
      <c r="I25" s="1034"/>
      <c r="J25" s="1026">
        <v>232</v>
      </c>
      <c r="K25" s="1022" t="s">
        <v>280</v>
      </c>
      <c r="L25" s="1019" t="s">
        <v>839</v>
      </c>
      <c r="M25" s="9" t="s">
        <v>3671</v>
      </c>
      <c r="N25" s="1023">
        <v>40014</v>
      </c>
      <c r="O25" s="1027">
        <v>43409</v>
      </c>
      <c r="P25" s="1034"/>
      <c r="Q25" s="1026"/>
      <c r="R25" s="1022"/>
      <c r="S25" s="1019"/>
      <c r="T25" s="9"/>
      <c r="U25" s="1023"/>
      <c r="V25" s="1027"/>
    </row>
    <row r="26" spans="2:22" ht="13.5">
      <c r="B26" s="950">
        <v>23</v>
      </c>
      <c r="C26" s="1026">
        <v>156</v>
      </c>
      <c r="D26" s="1022" t="s">
        <v>130</v>
      </c>
      <c r="E26" s="1019" t="s">
        <v>3181</v>
      </c>
      <c r="F26" s="9" t="s">
        <v>528</v>
      </c>
      <c r="G26" s="1023">
        <v>40014</v>
      </c>
      <c r="H26" s="1027">
        <v>43409</v>
      </c>
      <c r="I26" s="1034"/>
      <c r="J26" s="1026">
        <v>215</v>
      </c>
      <c r="K26" s="1022" t="s">
        <v>4360</v>
      </c>
      <c r="L26" s="1019" t="s">
        <v>3233</v>
      </c>
      <c r="M26" s="9" t="s">
        <v>1477</v>
      </c>
      <c r="N26" s="1023">
        <v>39990</v>
      </c>
      <c r="O26" s="1027">
        <v>43409</v>
      </c>
      <c r="P26" s="1034"/>
      <c r="Q26" s="1026"/>
      <c r="R26" s="1022"/>
      <c r="S26" s="1019"/>
      <c r="T26" s="9"/>
      <c r="U26" s="1023"/>
      <c r="V26" s="1027"/>
    </row>
    <row r="27" spans="2:22" ht="13.5">
      <c r="B27" s="950">
        <v>24</v>
      </c>
      <c r="C27" s="1026">
        <v>151</v>
      </c>
      <c r="D27" s="1022" t="s">
        <v>815</v>
      </c>
      <c r="E27" s="1019" t="s">
        <v>3181</v>
      </c>
      <c r="F27" s="9" t="s">
        <v>4992</v>
      </c>
      <c r="G27" s="1023">
        <v>40014</v>
      </c>
      <c r="H27" s="1027">
        <v>43409</v>
      </c>
      <c r="I27" s="1034"/>
      <c r="J27" s="1026">
        <v>229</v>
      </c>
      <c r="K27" s="1022" t="s">
        <v>498</v>
      </c>
      <c r="L27" s="1019" t="s">
        <v>53</v>
      </c>
      <c r="M27" s="9" t="s">
        <v>4731</v>
      </c>
      <c r="N27" s="1023">
        <v>39990</v>
      </c>
      <c r="O27" s="1027">
        <v>43409</v>
      </c>
      <c r="P27" s="1034"/>
      <c r="Q27" s="1026"/>
      <c r="R27" s="1022"/>
      <c r="S27" s="1019"/>
      <c r="T27" s="9"/>
      <c r="U27" s="1023"/>
      <c r="V27" s="1027"/>
    </row>
    <row r="28" spans="2:22" ht="13.5">
      <c r="B28" s="950">
        <v>25</v>
      </c>
      <c r="C28" s="1026">
        <v>162</v>
      </c>
      <c r="D28" s="1022" t="s">
        <v>4654</v>
      </c>
      <c r="E28" s="1019" t="s">
        <v>3181</v>
      </c>
      <c r="F28" s="9" t="s">
        <v>4746</v>
      </c>
      <c r="G28" s="1023">
        <v>40014</v>
      </c>
      <c r="H28" s="1027">
        <v>43409</v>
      </c>
      <c r="I28" s="1034"/>
      <c r="J28" s="1026">
        <v>201</v>
      </c>
      <c r="K28" s="1022" t="s">
        <v>58</v>
      </c>
      <c r="L28" s="1019" t="s">
        <v>3233</v>
      </c>
      <c r="M28" s="9" t="s">
        <v>877</v>
      </c>
      <c r="N28" s="1023">
        <v>39990</v>
      </c>
      <c r="O28" s="1027">
        <v>43409</v>
      </c>
      <c r="P28" s="1034"/>
      <c r="Q28" s="1026"/>
      <c r="R28" s="1022"/>
      <c r="S28" s="1019"/>
      <c r="T28" s="9"/>
      <c r="U28" s="1023"/>
      <c r="V28" s="1027"/>
    </row>
    <row r="29" spans="2:22" ht="13.5">
      <c r="B29" s="950">
        <v>26</v>
      </c>
      <c r="C29" s="1026">
        <v>124</v>
      </c>
      <c r="D29" s="1022" t="s">
        <v>814</v>
      </c>
      <c r="E29" s="1019" t="s">
        <v>3181</v>
      </c>
      <c r="F29" s="9" t="s">
        <v>4991</v>
      </c>
      <c r="G29" s="1023">
        <v>40014</v>
      </c>
      <c r="H29" s="1027">
        <v>43409</v>
      </c>
      <c r="I29" s="1034"/>
      <c r="J29" s="1026">
        <v>207</v>
      </c>
      <c r="K29" s="1022" t="s">
        <v>1270</v>
      </c>
      <c r="L29" s="1019" t="s">
        <v>3233</v>
      </c>
      <c r="M29" s="9" t="s">
        <v>3072</v>
      </c>
      <c r="N29" s="1023">
        <v>39990</v>
      </c>
      <c r="O29" s="1027">
        <v>43409</v>
      </c>
      <c r="P29" s="1034"/>
      <c r="Q29" s="1026"/>
      <c r="R29" s="1022"/>
      <c r="S29" s="1019"/>
      <c r="T29" s="9"/>
      <c r="U29" s="1023"/>
      <c r="V29" s="1027"/>
    </row>
    <row r="30" spans="2:22" ht="13.5">
      <c r="B30" s="950">
        <v>27</v>
      </c>
      <c r="C30" s="1026">
        <v>166</v>
      </c>
      <c r="D30" s="1022" t="s">
        <v>900</v>
      </c>
      <c r="E30" s="1019" t="s">
        <v>3181</v>
      </c>
      <c r="F30" s="9" t="s">
        <v>3813</v>
      </c>
      <c r="G30" s="1023">
        <v>39990</v>
      </c>
      <c r="H30" s="1027">
        <v>43409</v>
      </c>
      <c r="I30" s="1034"/>
      <c r="J30" s="1026">
        <v>220</v>
      </c>
      <c r="K30" s="1022" t="s">
        <v>4362</v>
      </c>
      <c r="L30" s="1019" t="s">
        <v>3233</v>
      </c>
      <c r="M30" s="9" t="s">
        <v>4877</v>
      </c>
      <c r="N30" s="1023">
        <v>39990</v>
      </c>
      <c r="O30" s="1027">
        <v>43409</v>
      </c>
      <c r="P30" s="1034"/>
      <c r="Q30" s="1026"/>
      <c r="R30" s="1022"/>
      <c r="S30" s="1019"/>
      <c r="T30" s="9"/>
      <c r="U30" s="1023"/>
      <c r="V30" s="1027"/>
    </row>
    <row r="31" spans="2:22" ht="13.5">
      <c r="B31" s="950">
        <v>28</v>
      </c>
      <c r="C31" s="1026">
        <v>157</v>
      </c>
      <c r="D31" s="1022" t="s">
        <v>131</v>
      </c>
      <c r="E31" s="1019" t="s">
        <v>3181</v>
      </c>
      <c r="F31" s="9" t="s">
        <v>2631</v>
      </c>
      <c r="G31" s="1023">
        <v>39990</v>
      </c>
      <c r="H31" s="1027">
        <v>43409</v>
      </c>
      <c r="I31" s="1034"/>
      <c r="J31" s="1026">
        <v>200</v>
      </c>
      <c r="K31" s="1022" t="s">
        <v>1269</v>
      </c>
      <c r="L31" s="1019" t="s">
        <v>3233</v>
      </c>
      <c r="M31" s="9" t="s">
        <v>892</v>
      </c>
      <c r="N31" s="1023">
        <v>39990</v>
      </c>
      <c r="O31" s="1027">
        <v>43409</v>
      </c>
      <c r="P31" s="1034"/>
      <c r="Q31" s="1026"/>
      <c r="R31" s="1022"/>
      <c r="S31" s="1019"/>
      <c r="T31" s="9"/>
      <c r="U31" s="1023"/>
      <c r="V31" s="1027"/>
    </row>
    <row r="32" spans="2:22" ht="13.5">
      <c r="B32" s="950">
        <v>29</v>
      </c>
      <c r="C32" s="1026">
        <v>167</v>
      </c>
      <c r="D32" s="1022" t="s">
        <v>901</v>
      </c>
      <c r="E32" s="1019" t="s">
        <v>3181</v>
      </c>
      <c r="F32" s="9" t="s">
        <v>171</v>
      </c>
      <c r="G32" s="1023">
        <v>39990</v>
      </c>
      <c r="H32" s="1027">
        <v>43409</v>
      </c>
      <c r="I32" s="1034"/>
      <c r="J32" s="1026">
        <v>235</v>
      </c>
      <c r="K32" s="1022" t="s">
        <v>281</v>
      </c>
      <c r="L32" s="1019" t="s">
        <v>5000</v>
      </c>
      <c r="M32" s="9" t="s">
        <v>4747</v>
      </c>
      <c r="N32" s="1023">
        <v>39990</v>
      </c>
      <c r="O32" s="1027">
        <v>43409</v>
      </c>
      <c r="P32" s="1034"/>
      <c r="Q32" s="1026"/>
      <c r="R32" s="1022"/>
      <c r="S32" s="1019"/>
      <c r="T32" s="9"/>
      <c r="U32" s="1023"/>
      <c r="V32" s="1027"/>
    </row>
    <row r="33" spans="2:22" ht="13.5">
      <c r="B33" s="950">
        <v>30</v>
      </c>
      <c r="C33" s="1026">
        <v>165</v>
      </c>
      <c r="D33" s="1022" t="s">
        <v>4657</v>
      </c>
      <c r="E33" s="1019" t="s">
        <v>3181</v>
      </c>
      <c r="F33" s="9" t="s">
        <v>3812</v>
      </c>
      <c r="G33" s="1023">
        <v>39990</v>
      </c>
      <c r="H33" s="1027">
        <v>43409</v>
      </c>
      <c r="I33" s="1034"/>
      <c r="J33" s="1026">
        <v>218</v>
      </c>
      <c r="K33" s="1022" t="s">
        <v>3753</v>
      </c>
      <c r="L33" s="1019" t="s">
        <v>3233</v>
      </c>
      <c r="M33" s="9" t="s">
        <v>2289</v>
      </c>
      <c r="N33" s="1023">
        <v>39799</v>
      </c>
      <c r="O33" s="1027">
        <v>43409</v>
      </c>
      <c r="P33" s="1034"/>
      <c r="Q33" s="1026"/>
      <c r="R33" s="1022"/>
      <c r="S33" s="1019"/>
      <c r="T33" s="9"/>
      <c r="U33" s="1023"/>
      <c r="V33" s="1027"/>
    </row>
    <row r="34" spans="2:22" ht="13.5">
      <c r="B34" s="950">
        <v>31</v>
      </c>
      <c r="C34" s="1026">
        <v>164</v>
      </c>
      <c r="D34" s="1022" t="s">
        <v>4656</v>
      </c>
      <c r="E34" s="1019" t="s">
        <v>3181</v>
      </c>
      <c r="F34" s="9" t="s">
        <v>4749</v>
      </c>
      <c r="G34" s="1023">
        <v>39990</v>
      </c>
      <c r="H34" s="1027">
        <v>43409</v>
      </c>
      <c r="I34" s="1034"/>
      <c r="J34" s="1026"/>
      <c r="K34" s="1022"/>
      <c r="L34" s="1019"/>
      <c r="M34" s="9"/>
      <c r="N34" s="1023"/>
      <c r="O34" s="1027"/>
      <c r="P34" s="1034"/>
      <c r="Q34" s="1026"/>
      <c r="R34" s="1022"/>
      <c r="S34" s="1019"/>
      <c r="T34" s="9"/>
      <c r="U34" s="1023"/>
      <c r="V34" s="1027"/>
    </row>
    <row r="35" spans="2:22" ht="13.5">
      <c r="B35" s="950">
        <v>32</v>
      </c>
      <c r="C35" s="1026">
        <v>152</v>
      </c>
      <c r="D35" s="1022" t="s">
        <v>816</v>
      </c>
      <c r="E35" s="1019" t="s">
        <v>3181</v>
      </c>
      <c r="F35" s="9" t="s">
        <v>2224</v>
      </c>
      <c r="G35" s="1023">
        <v>39990</v>
      </c>
      <c r="H35" s="1027">
        <v>43409</v>
      </c>
      <c r="I35" s="1034"/>
      <c r="J35" s="1026"/>
      <c r="K35" s="1022"/>
      <c r="L35" s="1019"/>
      <c r="M35" s="9"/>
      <c r="N35" s="1023"/>
      <c r="O35" s="1027"/>
      <c r="P35" s="1034"/>
      <c r="Q35" s="1026"/>
      <c r="R35" s="1022"/>
      <c r="S35" s="1019"/>
      <c r="T35" s="9"/>
      <c r="U35" s="1023"/>
      <c r="V35" s="1027"/>
    </row>
    <row r="36" spans="2:22" ht="13.5">
      <c r="B36" s="950">
        <v>33</v>
      </c>
      <c r="C36" s="1026">
        <v>153</v>
      </c>
      <c r="D36" s="1022" t="s">
        <v>2837</v>
      </c>
      <c r="E36" s="1019" t="s">
        <v>3181</v>
      </c>
      <c r="F36" s="9" t="s">
        <v>2986</v>
      </c>
      <c r="G36" s="1023">
        <v>39990</v>
      </c>
      <c r="H36" s="1027">
        <v>43409</v>
      </c>
      <c r="I36" s="1034"/>
      <c r="J36" s="1026"/>
      <c r="K36" s="1022"/>
      <c r="L36" s="1019"/>
      <c r="M36" s="9"/>
      <c r="N36" s="1023"/>
      <c r="O36" s="1027"/>
      <c r="P36" s="1034"/>
      <c r="Q36" s="1026"/>
      <c r="R36" s="1022"/>
      <c r="S36" s="1019"/>
      <c r="T36" s="9"/>
      <c r="U36" s="1023"/>
      <c r="V36" s="1027"/>
    </row>
    <row r="37" spans="2:22" ht="13.5">
      <c r="B37" s="950">
        <v>34</v>
      </c>
      <c r="C37" s="1026">
        <v>101</v>
      </c>
      <c r="D37" s="1022" t="s">
        <v>2270</v>
      </c>
      <c r="E37" s="1019" t="s">
        <v>3181</v>
      </c>
      <c r="F37" s="9" t="s">
        <v>891</v>
      </c>
      <c r="G37" s="1023">
        <v>39990</v>
      </c>
      <c r="H37" s="1027">
        <v>43409</v>
      </c>
      <c r="I37" s="1034"/>
      <c r="J37" s="1026"/>
      <c r="K37" s="1022"/>
      <c r="L37" s="1019"/>
      <c r="M37" s="9"/>
      <c r="N37" s="1023"/>
      <c r="O37" s="1027"/>
      <c r="P37" s="1034"/>
      <c r="Q37" s="1026"/>
      <c r="R37" s="1022"/>
      <c r="S37" s="1019"/>
      <c r="T37" s="9"/>
      <c r="U37" s="1023"/>
      <c r="V37" s="1027"/>
    </row>
    <row r="38" spans="2:22" ht="13.5">
      <c r="B38" s="950">
        <v>35</v>
      </c>
      <c r="C38" s="1026">
        <v>158</v>
      </c>
      <c r="D38" s="1022" t="s">
        <v>132</v>
      </c>
      <c r="E38" s="1019" t="s">
        <v>3181</v>
      </c>
      <c r="F38" s="9" t="s">
        <v>3773</v>
      </c>
      <c r="G38" s="1023">
        <v>39990</v>
      </c>
      <c r="H38" s="1027">
        <v>43409</v>
      </c>
      <c r="I38" s="1034"/>
      <c r="J38" s="1026"/>
      <c r="K38" s="1022"/>
      <c r="L38" s="1019"/>
      <c r="M38" s="9"/>
      <c r="N38" s="1023"/>
      <c r="O38" s="1027"/>
      <c r="P38" s="1034"/>
      <c r="Q38" s="1026"/>
      <c r="R38" s="1022"/>
      <c r="S38" s="1019"/>
      <c r="T38" s="9"/>
      <c r="U38" s="1023"/>
      <c r="V38" s="1027"/>
    </row>
    <row r="39" spans="2:22" ht="13.5">
      <c r="B39" s="950">
        <v>36</v>
      </c>
      <c r="C39" s="1026">
        <v>154</v>
      </c>
      <c r="D39" s="1022" t="s">
        <v>1555</v>
      </c>
      <c r="E39" s="1019" t="s">
        <v>3181</v>
      </c>
      <c r="F39" s="9" t="s">
        <v>730</v>
      </c>
      <c r="G39" s="1023">
        <v>39990</v>
      </c>
      <c r="H39" s="1027">
        <v>43409</v>
      </c>
      <c r="I39" s="1034"/>
      <c r="J39" s="1026"/>
      <c r="K39" s="1022"/>
      <c r="L39" s="1019"/>
      <c r="M39" s="9"/>
      <c r="N39" s="1023"/>
      <c r="O39" s="1027"/>
      <c r="P39" s="1034"/>
      <c r="Q39" s="1026"/>
      <c r="R39" s="1022"/>
      <c r="S39" s="1019"/>
      <c r="T39" s="9"/>
      <c r="U39" s="1023"/>
      <c r="V39" s="1027"/>
    </row>
    <row r="40" spans="2:22" ht="14.25" thickBot="1">
      <c r="B40" s="950">
        <v>37</v>
      </c>
      <c r="C40" s="1028">
        <v>116</v>
      </c>
      <c r="D40" s="1029" t="s">
        <v>1259</v>
      </c>
      <c r="E40" s="1030" t="s">
        <v>3181</v>
      </c>
      <c r="F40" s="27" t="s">
        <v>4457</v>
      </c>
      <c r="G40" s="1031">
        <v>39757</v>
      </c>
      <c r="H40" s="1032">
        <v>43409</v>
      </c>
      <c r="I40" s="1035"/>
      <c r="J40" s="1028"/>
      <c r="K40" s="1029"/>
      <c r="L40" s="1030"/>
      <c r="M40" s="27"/>
      <c r="N40" s="1031"/>
      <c r="O40" s="1032"/>
      <c r="P40" s="1035"/>
      <c r="Q40" s="1028"/>
      <c r="R40" s="1029"/>
      <c r="S40" s="1030"/>
      <c r="T40" s="27"/>
      <c r="U40" s="1031"/>
      <c r="V40" s="1032"/>
    </row>
  </sheetData>
  <mergeCells count="3">
    <mergeCell ref="C2:H2"/>
    <mergeCell ref="J2:O2"/>
    <mergeCell ref="Q2:V2"/>
  </mergeCells>
  <phoneticPr fontId="0" type="noConversion"/>
  <pageMargins left="0.75" right="0.75" top="1" bottom="1" header="0" footer="0"/>
  <pageSetup paperSize="9" scale="84" fitToWidth="2" orientation="landscape" r:id="rId1"/>
  <headerFooter alignWithMargins="0"/>
</worksheet>
</file>

<file path=xl/worksheets/sheet18.xml><?xml version="1.0" encoding="utf-8"?>
<worksheet xmlns="http://schemas.openxmlformats.org/spreadsheetml/2006/main" xmlns:r="http://schemas.openxmlformats.org/officeDocument/2006/relationships">
  <sheetPr codeName="Hoja17">
    <pageSetUpPr fitToPage="1"/>
  </sheetPr>
  <dimension ref="A2:P184"/>
  <sheetViews>
    <sheetView workbookViewId="0">
      <selection activeCell="A2" sqref="A2"/>
    </sheetView>
  </sheetViews>
  <sheetFormatPr baseColWidth="10" defaultRowHeight="20.25"/>
  <cols>
    <col min="1" max="1" width="7.85546875" customWidth="1"/>
    <col min="2" max="2" width="15.7109375" customWidth="1"/>
    <col min="4" max="4" width="20.7109375" style="956" customWidth="1"/>
    <col min="5" max="5" width="34.7109375" style="956" bestFit="1" customWidth="1"/>
    <col min="6" max="6" width="20.7109375" style="956" customWidth="1"/>
    <col min="7" max="7" width="30.7109375" style="956" customWidth="1"/>
  </cols>
  <sheetData>
    <row r="2" spans="1:16" ht="25.5">
      <c r="C2" s="3928" t="s">
        <v>435</v>
      </c>
      <c r="D2" s="3929"/>
      <c r="E2" s="3929"/>
      <c r="F2" s="3929"/>
      <c r="G2" s="3930"/>
    </row>
    <row r="3" spans="1:16">
      <c r="C3" s="955" t="s">
        <v>1574</v>
      </c>
      <c r="G3" s="957"/>
      <c r="H3" s="958"/>
      <c r="I3" s="958"/>
      <c r="J3" s="958"/>
      <c r="K3" s="985"/>
      <c r="L3" s="986"/>
      <c r="M3" s="3927"/>
      <c r="N3" s="3927"/>
      <c r="O3" s="986"/>
      <c r="P3" s="3931"/>
    </row>
    <row r="4" spans="1:16">
      <c r="B4" s="427"/>
      <c r="C4" s="955"/>
      <c r="G4" s="989">
        <v>40089</v>
      </c>
      <c r="H4" s="958"/>
      <c r="I4" s="958"/>
      <c r="J4" s="958"/>
      <c r="K4" s="985"/>
      <c r="L4" s="986"/>
      <c r="M4" s="958"/>
      <c r="N4" s="958"/>
      <c r="O4" s="986"/>
      <c r="P4" s="3931"/>
    </row>
    <row r="5" spans="1:16" ht="16.5">
      <c r="A5" s="586"/>
      <c r="B5" s="961" t="s">
        <v>1575</v>
      </c>
      <c r="C5" s="961" t="s">
        <v>1098</v>
      </c>
      <c r="D5" s="962" t="s">
        <v>2613</v>
      </c>
      <c r="E5" s="963" t="s">
        <v>136</v>
      </c>
      <c r="F5" s="964" t="s">
        <v>371</v>
      </c>
      <c r="G5" s="964" t="s">
        <v>5004</v>
      </c>
      <c r="H5" s="958"/>
      <c r="I5" s="958"/>
      <c r="J5" s="958"/>
      <c r="K5" s="985"/>
      <c r="L5" s="986"/>
      <c r="M5" s="958"/>
      <c r="N5" s="958"/>
      <c r="O5" s="986"/>
      <c r="P5" s="3931"/>
    </row>
    <row r="6" spans="1:16">
      <c r="A6" s="994"/>
      <c r="H6" s="958"/>
      <c r="I6" s="958"/>
      <c r="J6" s="958"/>
      <c r="K6" s="985"/>
      <c r="L6" s="986"/>
      <c r="M6" s="987"/>
      <c r="N6" s="987"/>
      <c r="O6" s="988"/>
      <c r="P6" s="986"/>
    </row>
    <row r="7" spans="1:16">
      <c r="A7" s="586"/>
      <c r="B7" s="961">
        <v>159</v>
      </c>
      <c r="C7" s="968">
        <v>1</v>
      </c>
      <c r="D7" s="969" t="s">
        <v>1115</v>
      </c>
      <c r="E7" s="962" t="s">
        <v>506</v>
      </c>
      <c r="F7" s="969" t="s">
        <v>507</v>
      </c>
      <c r="G7" s="969" t="s">
        <v>206</v>
      </c>
      <c r="H7" s="958"/>
      <c r="I7" s="958"/>
      <c r="J7" s="958"/>
      <c r="K7" s="985"/>
      <c r="L7" s="986"/>
      <c r="M7" s="987"/>
      <c r="N7" s="987"/>
      <c r="O7" s="988"/>
      <c r="P7" s="986"/>
    </row>
    <row r="8" spans="1:16" ht="21" thickBot="1">
      <c r="A8" s="994"/>
      <c r="B8" s="975"/>
      <c r="C8" s="976"/>
      <c r="D8" s="977"/>
      <c r="E8" s="978"/>
      <c r="F8" s="977"/>
      <c r="G8" s="977"/>
      <c r="H8" s="958"/>
      <c r="I8" s="958"/>
      <c r="J8" s="958"/>
      <c r="K8" s="985"/>
      <c r="L8" s="986"/>
      <c r="M8" s="987"/>
      <c r="N8" s="987"/>
      <c r="O8" s="988"/>
      <c r="P8" s="986"/>
    </row>
    <row r="9" spans="1:16" ht="21" thickTop="1">
      <c r="A9" s="994"/>
      <c r="B9" s="961">
        <v>302</v>
      </c>
      <c r="C9" s="980">
        <v>2</v>
      </c>
      <c r="D9" s="969" t="s">
        <v>1684</v>
      </c>
      <c r="E9" s="962" t="s">
        <v>506</v>
      </c>
      <c r="F9" s="969" t="s">
        <v>507</v>
      </c>
      <c r="G9" s="969" t="s">
        <v>2156</v>
      </c>
      <c r="H9" s="958"/>
      <c r="I9" s="958"/>
      <c r="J9" s="958"/>
      <c r="K9" s="985"/>
      <c r="L9" s="986"/>
      <c r="M9" s="987"/>
      <c r="N9" s="987"/>
      <c r="O9" s="988"/>
      <c r="P9" s="986"/>
    </row>
    <row r="10" spans="1:16">
      <c r="A10" s="994"/>
      <c r="B10" s="961">
        <v>308</v>
      </c>
      <c r="C10" s="980">
        <v>3</v>
      </c>
      <c r="D10" s="969" t="s">
        <v>3532</v>
      </c>
      <c r="E10" s="962" t="s">
        <v>506</v>
      </c>
      <c r="F10" s="969" t="s">
        <v>507</v>
      </c>
      <c r="G10" s="969" t="s">
        <v>2156</v>
      </c>
      <c r="H10" s="958"/>
      <c r="I10" s="958"/>
      <c r="J10" s="958"/>
      <c r="K10" s="985"/>
      <c r="L10" s="986"/>
      <c r="M10" s="987"/>
      <c r="N10" s="987"/>
      <c r="O10" s="988"/>
      <c r="P10" s="986"/>
    </row>
    <row r="11" spans="1:16">
      <c r="A11" s="994"/>
      <c r="B11" s="961">
        <v>315</v>
      </c>
      <c r="C11" s="980">
        <v>4</v>
      </c>
      <c r="D11" s="969" t="s">
        <v>2719</v>
      </c>
      <c r="E11" s="962" t="s">
        <v>506</v>
      </c>
      <c r="F11" s="969" t="s">
        <v>507</v>
      </c>
      <c r="G11" s="969" t="s">
        <v>2156</v>
      </c>
      <c r="H11" s="958"/>
      <c r="I11" s="958"/>
      <c r="J11" s="958"/>
      <c r="K11" s="985"/>
      <c r="L11" s="986"/>
      <c r="M11" s="987"/>
      <c r="N11" s="987"/>
      <c r="O11" s="988"/>
      <c r="P11" s="986"/>
    </row>
    <row r="12" spans="1:16">
      <c r="A12" s="586"/>
      <c r="B12" s="961">
        <v>332</v>
      </c>
      <c r="C12" s="980">
        <v>5</v>
      </c>
      <c r="D12" s="969" t="s">
        <v>248</v>
      </c>
      <c r="E12" s="962" t="s">
        <v>506</v>
      </c>
      <c r="F12" s="969" t="s">
        <v>507</v>
      </c>
      <c r="G12" s="969" t="s">
        <v>2156</v>
      </c>
      <c r="H12" s="958"/>
      <c r="I12" s="958"/>
      <c r="J12" s="958"/>
      <c r="K12" s="985"/>
      <c r="L12" s="986"/>
      <c r="M12" s="987"/>
      <c r="N12" s="987"/>
      <c r="O12" s="988"/>
      <c r="P12" s="986"/>
    </row>
    <row r="13" spans="1:16">
      <c r="A13" s="994"/>
      <c r="B13" s="961">
        <v>338</v>
      </c>
      <c r="C13" s="980">
        <v>6</v>
      </c>
      <c r="D13" s="969" t="s">
        <v>2455</v>
      </c>
      <c r="E13" s="962" t="s">
        <v>506</v>
      </c>
      <c r="F13" s="969" t="s">
        <v>507</v>
      </c>
      <c r="G13" s="969" t="s">
        <v>2156</v>
      </c>
      <c r="H13" s="958"/>
      <c r="I13" s="958"/>
      <c r="J13" s="958"/>
      <c r="K13" s="985"/>
      <c r="L13" s="986"/>
      <c r="M13" s="987"/>
      <c r="N13" s="987"/>
      <c r="O13" s="988"/>
      <c r="P13" s="986"/>
    </row>
    <row r="14" spans="1:16">
      <c r="A14" s="994"/>
      <c r="B14" s="961">
        <v>342</v>
      </c>
      <c r="C14" s="980">
        <v>7</v>
      </c>
      <c r="D14" s="969" t="s">
        <v>4861</v>
      </c>
      <c r="E14" s="962" t="s">
        <v>506</v>
      </c>
      <c r="F14" s="969" t="s">
        <v>507</v>
      </c>
      <c r="G14" s="969" t="s">
        <v>2156</v>
      </c>
      <c r="H14" s="958"/>
      <c r="I14" s="958"/>
      <c r="J14" s="958"/>
      <c r="K14" s="985"/>
      <c r="L14" s="986"/>
      <c r="M14" s="987"/>
      <c r="N14" s="987"/>
      <c r="O14" s="988"/>
      <c r="P14" s="986"/>
    </row>
    <row r="15" spans="1:16">
      <c r="A15" s="994"/>
      <c r="B15" s="961">
        <v>344</v>
      </c>
      <c r="C15" s="980">
        <v>8</v>
      </c>
      <c r="D15" s="969" t="s">
        <v>1878</v>
      </c>
      <c r="E15" s="962" t="s">
        <v>506</v>
      </c>
      <c r="F15" s="969" t="s">
        <v>507</v>
      </c>
      <c r="G15" s="969" t="s">
        <v>2156</v>
      </c>
      <c r="H15" s="958"/>
      <c r="I15" s="958"/>
      <c r="J15" s="958"/>
      <c r="K15" s="985"/>
      <c r="L15" s="986"/>
      <c r="M15" s="987"/>
      <c r="N15" s="987"/>
      <c r="O15" s="988"/>
      <c r="P15" s="986"/>
    </row>
    <row r="16" spans="1:16">
      <c r="A16" s="994"/>
      <c r="B16" s="961">
        <v>356</v>
      </c>
      <c r="C16" s="980">
        <v>9</v>
      </c>
      <c r="D16" s="969" t="s">
        <v>3930</v>
      </c>
      <c r="E16" s="962" t="s">
        <v>506</v>
      </c>
      <c r="F16" s="969" t="s">
        <v>507</v>
      </c>
      <c r="G16" s="969" t="s">
        <v>2156</v>
      </c>
      <c r="H16" s="958"/>
      <c r="I16" s="958"/>
      <c r="J16" s="958"/>
      <c r="K16" s="985"/>
      <c r="L16" s="986"/>
      <c r="M16" s="987"/>
      <c r="N16" s="987"/>
      <c r="O16" s="988"/>
      <c r="P16" s="986"/>
    </row>
    <row r="17" spans="1:16">
      <c r="A17" s="994"/>
      <c r="B17" s="961">
        <v>357</v>
      </c>
      <c r="C17" s="980">
        <v>10</v>
      </c>
      <c r="D17" s="969" t="s">
        <v>3224</v>
      </c>
      <c r="E17" s="962" t="s">
        <v>506</v>
      </c>
      <c r="F17" s="969" t="s">
        <v>507</v>
      </c>
      <c r="G17" s="969" t="s">
        <v>2156</v>
      </c>
      <c r="H17" s="958"/>
      <c r="I17" s="958"/>
      <c r="J17" s="958"/>
      <c r="K17" s="985"/>
      <c r="L17" s="986"/>
      <c r="M17" s="987"/>
      <c r="N17" s="987"/>
      <c r="O17" s="988"/>
      <c r="P17" s="986"/>
    </row>
    <row r="18" spans="1:16">
      <c r="A18" s="994"/>
      <c r="B18" s="961"/>
      <c r="C18" s="968"/>
      <c r="D18" s="969"/>
      <c r="E18" s="962"/>
      <c r="F18" s="969"/>
      <c r="G18" s="969"/>
      <c r="H18" s="958"/>
      <c r="I18" s="958"/>
      <c r="J18" s="958"/>
      <c r="K18" s="985"/>
      <c r="L18" s="986"/>
      <c r="M18" s="987"/>
      <c r="N18" s="987"/>
      <c r="O18" s="988"/>
      <c r="P18" s="986"/>
    </row>
    <row r="19" spans="1:16">
      <c r="A19" s="992"/>
      <c r="B19" t="s">
        <v>5018</v>
      </c>
      <c r="H19" s="75"/>
      <c r="I19" s="75"/>
      <c r="J19" s="75"/>
      <c r="K19" s="75"/>
      <c r="L19" s="75"/>
      <c r="M19" s="75"/>
      <c r="N19" s="75"/>
      <c r="O19" s="75"/>
      <c r="P19" s="75"/>
    </row>
    <row r="20" spans="1:16">
      <c r="B20" s="990">
        <v>109</v>
      </c>
      <c r="C20" s="968">
        <v>1</v>
      </c>
      <c r="D20" s="1040" t="s">
        <v>4372</v>
      </c>
      <c r="E20" s="1041" t="s">
        <v>506</v>
      </c>
      <c r="F20" s="1040" t="s">
        <v>507</v>
      </c>
      <c r="G20" s="1040" t="s">
        <v>206</v>
      </c>
    </row>
    <row r="22" spans="1:16" ht="25.5">
      <c r="C22" s="3928" t="s">
        <v>435</v>
      </c>
      <c r="D22" s="3929"/>
      <c r="E22" s="3929"/>
      <c r="F22" s="3929"/>
      <c r="G22" s="3930"/>
    </row>
    <row r="23" spans="1:16">
      <c r="C23" s="955" t="s">
        <v>1574</v>
      </c>
      <c r="G23" s="957"/>
      <c r="H23" s="958"/>
      <c r="I23" s="958"/>
      <c r="J23" s="958"/>
      <c r="K23" s="985"/>
      <c r="L23" s="986"/>
      <c r="M23" s="3927"/>
      <c r="N23" s="3927"/>
      <c r="O23" s="986"/>
      <c r="P23" s="3931"/>
    </row>
    <row r="24" spans="1:16">
      <c r="B24" s="427"/>
      <c r="C24" s="955"/>
      <c r="G24" s="989">
        <v>40035</v>
      </c>
      <c r="H24" s="958"/>
      <c r="I24" s="958"/>
      <c r="J24" s="958"/>
      <c r="K24" s="985"/>
      <c r="L24" s="986"/>
      <c r="M24" s="958"/>
      <c r="N24" s="958"/>
      <c r="O24" s="986"/>
      <c r="P24" s="3931"/>
    </row>
    <row r="25" spans="1:16" ht="16.5">
      <c r="A25" s="586"/>
      <c r="B25" s="961" t="s">
        <v>1575</v>
      </c>
      <c r="C25" s="961" t="s">
        <v>1098</v>
      </c>
      <c r="D25" s="962" t="s">
        <v>2613</v>
      </c>
      <c r="E25" s="963" t="s">
        <v>136</v>
      </c>
      <c r="F25" s="964" t="s">
        <v>371</v>
      </c>
      <c r="G25" s="964" t="s">
        <v>5004</v>
      </c>
      <c r="H25" s="958"/>
      <c r="I25" s="958"/>
      <c r="J25" s="958"/>
      <c r="K25" s="985"/>
      <c r="L25" s="986"/>
      <c r="M25" s="958"/>
      <c r="N25" s="958"/>
      <c r="O25" s="986"/>
      <c r="P25" s="3931"/>
    </row>
    <row r="26" spans="1:16">
      <c r="A26" s="994"/>
      <c r="B26" s="979">
        <v>116</v>
      </c>
      <c r="C26" s="968">
        <v>1</v>
      </c>
      <c r="D26" s="981" t="s">
        <v>1259</v>
      </c>
      <c r="E26" s="962" t="s">
        <v>506</v>
      </c>
      <c r="F26" s="969" t="s">
        <v>507</v>
      </c>
      <c r="G26" s="969" t="s">
        <v>206</v>
      </c>
      <c r="H26" s="958"/>
      <c r="I26" s="958"/>
      <c r="J26" s="958"/>
      <c r="K26" s="985"/>
      <c r="L26" s="986"/>
      <c r="M26" s="987"/>
      <c r="N26" s="987"/>
      <c r="O26" s="988"/>
      <c r="P26" s="986"/>
    </row>
    <row r="27" spans="1:16">
      <c r="A27" s="586"/>
      <c r="B27" s="961">
        <v>106</v>
      </c>
      <c r="C27" s="968">
        <v>2</v>
      </c>
      <c r="D27" s="969" t="s">
        <v>3798</v>
      </c>
      <c r="E27" s="962" t="s">
        <v>506</v>
      </c>
      <c r="F27" s="969" t="s">
        <v>507</v>
      </c>
      <c r="G27" s="969" t="s">
        <v>206</v>
      </c>
      <c r="H27" s="958"/>
      <c r="I27" s="958"/>
      <c r="J27" s="958"/>
      <c r="K27" s="985"/>
      <c r="L27" s="986"/>
      <c r="M27" s="987"/>
      <c r="N27" s="987"/>
      <c r="O27" s="988"/>
      <c r="P27" s="986"/>
    </row>
    <row r="28" spans="1:16">
      <c r="A28" s="994"/>
      <c r="B28" s="961">
        <v>108</v>
      </c>
      <c r="C28" s="968">
        <v>3</v>
      </c>
      <c r="D28" s="969" t="s">
        <v>3800</v>
      </c>
      <c r="E28" s="962" t="s">
        <v>506</v>
      </c>
      <c r="F28" s="969" t="s">
        <v>507</v>
      </c>
      <c r="G28" s="969" t="s">
        <v>206</v>
      </c>
      <c r="H28" s="958"/>
      <c r="I28" s="958"/>
      <c r="J28" s="958"/>
      <c r="K28" s="985"/>
      <c r="L28" s="986"/>
      <c r="M28" s="987"/>
      <c r="N28" s="987"/>
      <c r="O28" s="988"/>
      <c r="P28" s="986"/>
    </row>
    <row r="29" spans="1:16">
      <c r="A29" s="994"/>
      <c r="B29" s="961">
        <v>119</v>
      </c>
      <c r="C29" s="968">
        <v>4</v>
      </c>
      <c r="D29" s="969" t="s">
        <v>4890</v>
      </c>
      <c r="E29" s="962" t="s">
        <v>506</v>
      </c>
      <c r="F29" s="969" t="s">
        <v>507</v>
      </c>
      <c r="G29" s="969" t="s">
        <v>206</v>
      </c>
      <c r="H29" s="958"/>
      <c r="I29" s="958"/>
      <c r="J29" s="958"/>
      <c r="K29" s="985"/>
      <c r="L29" s="986"/>
      <c r="M29" s="987"/>
      <c r="N29" s="987"/>
      <c r="O29" s="988"/>
      <c r="P29" s="986"/>
    </row>
    <row r="30" spans="1:16">
      <c r="A30" s="994"/>
      <c r="B30" s="961">
        <v>163</v>
      </c>
      <c r="C30" s="968">
        <v>5</v>
      </c>
      <c r="D30" s="969" t="s">
        <v>4655</v>
      </c>
      <c r="E30" s="962" t="s">
        <v>506</v>
      </c>
      <c r="F30" s="969" t="s">
        <v>507</v>
      </c>
      <c r="G30" s="969" t="s">
        <v>206</v>
      </c>
      <c r="H30" s="958"/>
      <c r="I30" s="958"/>
      <c r="J30" s="958"/>
      <c r="K30" s="985"/>
      <c r="L30" s="986"/>
      <c r="M30" s="987"/>
      <c r="N30" s="987"/>
      <c r="O30" s="988"/>
      <c r="P30" s="986"/>
    </row>
    <row r="31" spans="1:16">
      <c r="A31" s="994"/>
      <c r="B31" s="961">
        <v>160</v>
      </c>
      <c r="C31" s="968">
        <v>6</v>
      </c>
      <c r="D31" s="969" t="s">
        <v>1116</v>
      </c>
      <c r="E31" s="962" t="s">
        <v>506</v>
      </c>
      <c r="F31" s="969" t="s">
        <v>507</v>
      </c>
      <c r="G31" s="969" t="s">
        <v>206</v>
      </c>
      <c r="H31" s="958"/>
      <c r="I31" s="958"/>
      <c r="J31" s="958"/>
      <c r="K31" s="985"/>
      <c r="L31" s="986"/>
      <c r="M31" s="987"/>
      <c r="N31" s="987"/>
      <c r="O31" s="988"/>
      <c r="P31" s="986"/>
    </row>
    <row r="32" spans="1:16" ht="21" thickBot="1">
      <c r="A32" s="994"/>
      <c r="B32" s="975">
        <v>155</v>
      </c>
      <c r="C32" s="968">
        <v>7</v>
      </c>
      <c r="D32" s="977" t="s">
        <v>129</v>
      </c>
      <c r="E32" s="978" t="s">
        <v>506</v>
      </c>
      <c r="F32" s="977" t="s">
        <v>507</v>
      </c>
      <c r="G32" s="977" t="s">
        <v>206</v>
      </c>
      <c r="H32" s="958"/>
      <c r="I32" s="958"/>
      <c r="J32" s="958"/>
      <c r="K32" s="985"/>
      <c r="L32" s="986"/>
      <c r="M32" s="987"/>
      <c r="N32" s="987"/>
      <c r="O32" s="988"/>
      <c r="P32" s="986"/>
    </row>
    <row r="33" spans="1:16" ht="21" thickTop="1">
      <c r="A33" s="994"/>
      <c r="B33" s="961">
        <v>204</v>
      </c>
      <c r="C33" s="968">
        <v>8</v>
      </c>
      <c r="D33" s="969" t="s">
        <v>2666</v>
      </c>
      <c r="E33" s="962" t="s">
        <v>506</v>
      </c>
      <c r="F33" s="969" t="s">
        <v>507</v>
      </c>
      <c r="G33" s="969" t="s">
        <v>2156</v>
      </c>
      <c r="H33" s="958"/>
      <c r="I33" s="958"/>
      <c r="J33" s="958"/>
      <c r="K33" s="985"/>
      <c r="L33" s="986"/>
      <c r="M33" s="987"/>
      <c r="N33" s="987"/>
      <c r="O33" s="988"/>
      <c r="P33" s="986"/>
    </row>
    <row r="34" spans="1:16">
      <c r="A34" s="994"/>
      <c r="B34" s="961">
        <v>209</v>
      </c>
      <c r="C34" s="968">
        <v>9</v>
      </c>
      <c r="D34" s="969" t="s">
        <v>4323</v>
      </c>
      <c r="E34" s="962" t="s">
        <v>506</v>
      </c>
      <c r="F34" s="969" t="s">
        <v>507</v>
      </c>
      <c r="G34" s="969" t="s">
        <v>2156</v>
      </c>
      <c r="H34" s="958"/>
      <c r="I34" s="958"/>
      <c r="J34" s="958"/>
      <c r="K34" s="985"/>
      <c r="L34" s="986"/>
      <c r="M34" s="987"/>
      <c r="N34" s="987"/>
      <c r="O34" s="988"/>
      <c r="P34" s="986"/>
    </row>
    <row r="35" spans="1:16">
      <c r="A35" s="994"/>
      <c r="B35" s="961">
        <v>210</v>
      </c>
      <c r="C35" s="968">
        <v>10</v>
      </c>
      <c r="D35" s="969" t="s">
        <v>3007</v>
      </c>
      <c r="E35" s="962" t="s">
        <v>506</v>
      </c>
      <c r="F35" s="969" t="s">
        <v>507</v>
      </c>
      <c r="G35" s="969" t="s">
        <v>2156</v>
      </c>
      <c r="H35" s="958"/>
      <c r="I35" s="958"/>
      <c r="J35" s="958"/>
      <c r="K35" s="985"/>
      <c r="L35" s="986"/>
      <c r="M35" s="987"/>
      <c r="N35" s="987"/>
      <c r="O35" s="988"/>
      <c r="P35" s="986"/>
    </row>
    <row r="36" spans="1:16">
      <c r="A36" s="586"/>
      <c r="B36" s="961">
        <v>214</v>
      </c>
      <c r="C36" s="968">
        <v>11</v>
      </c>
      <c r="D36" s="969" t="s">
        <v>4364</v>
      </c>
      <c r="E36" s="962" t="s">
        <v>506</v>
      </c>
      <c r="F36" s="969" t="s">
        <v>507</v>
      </c>
      <c r="G36" s="969" t="s">
        <v>2156</v>
      </c>
      <c r="H36" s="958"/>
      <c r="I36" s="958"/>
      <c r="J36" s="958"/>
      <c r="K36" s="985"/>
      <c r="L36" s="986"/>
      <c r="M36" s="987"/>
      <c r="N36" s="987"/>
      <c r="O36" s="988"/>
      <c r="P36" s="986"/>
    </row>
    <row r="37" spans="1:16">
      <c r="A37" s="994"/>
      <c r="B37" s="961">
        <v>216</v>
      </c>
      <c r="C37" s="968">
        <v>12</v>
      </c>
      <c r="D37" s="969" t="s">
        <v>4204</v>
      </c>
      <c r="E37" s="962" t="s">
        <v>506</v>
      </c>
      <c r="F37" s="969" t="s">
        <v>507</v>
      </c>
      <c r="G37" s="969" t="s">
        <v>2156</v>
      </c>
      <c r="H37" s="958"/>
      <c r="I37" s="958"/>
      <c r="J37" s="958"/>
      <c r="K37" s="985"/>
      <c r="L37" s="986"/>
      <c r="M37" s="987"/>
      <c r="N37" s="987"/>
      <c r="O37" s="988"/>
      <c r="P37" s="986"/>
    </row>
    <row r="38" spans="1:16">
      <c r="A38" s="994"/>
      <c r="B38" s="961">
        <v>217</v>
      </c>
      <c r="C38" s="968">
        <v>13</v>
      </c>
      <c r="D38" s="969" t="s">
        <v>1097</v>
      </c>
      <c r="E38" s="962" t="s">
        <v>506</v>
      </c>
      <c r="F38" s="969" t="s">
        <v>507</v>
      </c>
      <c r="G38" s="969" t="s">
        <v>2156</v>
      </c>
      <c r="H38" s="958"/>
      <c r="I38" s="958"/>
      <c r="J38" s="958"/>
      <c r="K38" s="985"/>
      <c r="L38" s="986"/>
      <c r="M38" s="987"/>
      <c r="N38" s="987"/>
      <c r="O38" s="988"/>
      <c r="P38" s="986"/>
    </row>
    <row r="39" spans="1:16">
      <c r="A39" s="994"/>
      <c r="B39" s="961">
        <v>225</v>
      </c>
      <c r="C39" s="968">
        <v>14</v>
      </c>
      <c r="D39" s="969" t="s">
        <v>1634</v>
      </c>
      <c r="E39" s="962" t="s">
        <v>506</v>
      </c>
      <c r="F39" s="969" t="s">
        <v>507</v>
      </c>
      <c r="G39" s="969" t="s">
        <v>2156</v>
      </c>
      <c r="H39" s="958"/>
      <c r="I39" s="958"/>
      <c r="J39" s="958"/>
      <c r="K39" s="985"/>
      <c r="L39" s="986"/>
      <c r="M39" s="987"/>
      <c r="N39" s="987"/>
      <c r="O39" s="988"/>
      <c r="P39" s="986"/>
    </row>
    <row r="40" spans="1:16">
      <c r="A40" s="994"/>
      <c r="B40" s="961">
        <v>228</v>
      </c>
      <c r="C40" s="968">
        <v>15</v>
      </c>
      <c r="D40" s="969" t="s">
        <v>4363</v>
      </c>
      <c r="E40" s="962" t="s">
        <v>506</v>
      </c>
      <c r="F40" s="969" t="s">
        <v>507</v>
      </c>
      <c r="G40" s="969" t="s">
        <v>2156</v>
      </c>
      <c r="H40" s="958"/>
      <c r="I40" s="958"/>
      <c r="J40" s="958"/>
      <c r="K40" s="985"/>
      <c r="L40" s="986"/>
      <c r="M40" s="987"/>
      <c r="N40" s="987"/>
      <c r="O40" s="988"/>
      <c r="P40" s="986"/>
    </row>
    <row r="41" spans="1:16">
      <c r="A41" s="994"/>
      <c r="B41" s="961">
        <v>233</v>
      </c>
      <c r="C41" s="968">
        <v>16</v>
      </c>
      <c r="D41" s="969" t="s">
        <v>4679</v>
      </c>
      <c r="E41" s="962" t="s">
        <v>506</v>
      </c>
      <c r="F41" s="969" t="s">
        <v>507</v>
      </c>
      <c r="G41" s="969" t="s">
        <v>2156</v>
      </c>
      <c r="H41" s="958"/>
      <c r="I41" s="958"/>
      <c r="J41" s="958"/>
      <c r="K41" s="985"/>
      <c r="L41" s="986"/>
      <c r="M41" s="987"/>
      <c r="N41" s="987"/>
      <c r="O41" s="988"/>
      <c r="P41" s="986"/>
    </row>
    <row r="42" spans="1:16">
      <c r="A42" s="994"/>
      <c r="B42" s="961">
        <v>231</v>
      </c>
      <c r="C42" s="968">
        <v>17</v>
      </c>
      <c r="D42" s="969" t="s">
        <v>279</v>
      </c>
      <c r="E42" s="962" t="s">
        <v>506</v>
      </c>
      <c r="F42" s="969" t="s">
        <v>507</v>
      </c>
      <c r="G42" s="969" t="s">
        <v>2156</v>
      </c>
      <c r="H42" s="958"/>
      <c r="I42" s="958"/>
      <c r="J42" s="958"/>
      <c r="K42" s="985"/>
      <c r="L42" s="986"/>
      <c r="M42" s="987"/>
      <c r="N42" s="987"/>
      <c r="O42" s="988"/>
      <c r="P42" s="986"/>
    </row>
    <row r="43" spans="1:16">
      <c r="A43" s="994"/>
      <c r="B43" s="961">
        <v>234</v>
      </c>
      <c r="C43" s="968">
        <v>18</v>
      </c>
      <c r="D43" s="969" t="s">
        <v>669</v>
      </c>
      <c r="E43" s="962" t="s">
        <v>506</v>
      </c>
      <c r="F43" s="969" t="s">
        <v>507</v>
      </c>
      <c r="G43" s="969" t="s">
        <v>2156</v>
      </c>
      <c r="H43" s="958"/>
      <c r="I43" s="958"/>
      <c r="J43" s="958"/>
      <c r="K43" s="985"/>
      <c r="L43" s="986"/>
      <c r="M43" s="987"/>
      <c r="N43" s="987"/>
      <c r="O43" s="988"/>
      <c r="P43" s="986"/>
    </row>
    <row r="44" spans="1:16">
      <c r="A44" s="992"/>
      <c r="B44" t="s">
        <v>5018</v>
      </c>
      <c r="H44" s="75"/>
      <c r="I44" s="75"/>
      <c r="J44" s="75"/>
      <c r="K44" s="75"/>
      <c r="L44" s="75"/>
      <c r="M44" s="75"/>
      <c r="N44" s="75"/>
      <c r="O44" s="75"/>
      <c r="P44" s="75"/>
    </row>
    <row r="45" spans="1:16" ht="25.5">
      <c r="A45" s="993"/>
      <c r="B45" t="s">
        <v>5018</v>
      </c>
      <c r="C45" s="954"/>
      <c r="D45" s="954"/>
      <c r="E45" s="954"/>
      <c r="F45" s="954"/>
      <c r="G45" s="954"/>
    </row>
    <row r="47" spans="1:16" ht="20.25" customHeight="1">
      <c r="C47" s="3928" t="s">
        <v>435</v>
      </c>
      <c r="D47" s="3929"/>
      <c r="E47" s="3929"/>
      <c r="F47" s="3929"/>
      <c r="G47" s="3930"/>
    </row>
    <row r="48" spans="1:16">
      <c r="C48" s="955" t="s">
        <v>1574</v>
      </c>
      <c r="G48" s="957"/>
      <c r="H48" s="958"/>
      <c r="I48" s="958"/>
      <c r="J48" s="958"/>
      <c r="K48" s="985"/>
      <c r="L48" s="986"/>
      <c r="M48" s="3927"/>
      <c r="N48" s="3927"/>
      <c r="O48" s="986"/>
      <c r="P48" s="3931"/>
    </row>
    <row r="49" spans="1:16" ht="15.2" customHeight="1">
      <c r="B49" s="427"/>
      <c r="C49" s="955"/>
      <c r="G49" s="989">
        <v>40014</v>
      </c>
      <c r="H49" s="958"/>
      <c r="I49" s="958"/>
      <c r="J49" s="958"/>
      <c r="K49" s="985"/>
      <c r="L49" s="986"/>
      <c r="M49" s="958"/>
      <c r="N49" s="958"/>
      <c r="O49" s="986"/>
      <c r="P49" s="3931"/>
    </row>
    <row r="50" spans="1:16" ht="16.5">
      <c r="A50" s="586"/>
      <c r="B50" s="961" t="s">
        <v>1575</v>
      </c>
      <c r="C50" s="961" t="s">
        <v>1098</v>
      </c>
      <c r="D50" s="962" t="s">
        <v>2613</v>
      </c>
      <c r="E50" s="963" t="s">
        <v>136</v>
      </c>
      <c r="F50" s="964" t="s">
        <v>371</v>
      </c>
      <c r="G50" s="964" t="s">
        <v>5004</v>
      </c>
      <c r="H50" s="958"/>
      <c r="I50" s="958"/>
      <c r="J50" s="958"/>
      <c r="K50" s="985"/>
      <c r="L50" s="986"/>
      <c r="M50" s="958"/>
      <c r="N50" s="958"/>
      <c r="O50" s="986"/>
      <c r="P50" s="3931"/>
    </row>
    <row r="51" spans="1:16">
      <c r="A51" s="994"/>
      <c r="B51" s="979">
        <v>106</v>
      </c>
      <c r="C51" s="968">
        <v>1</v>
      </c>
      <c r="D51" s="981" t="s">
        <v>3798</v>
      </c>
      <c r="E51" s="962" t="s">
        <v>506</v>
      </c>
      <c r="F51" s="969" t="s">
        <v>507</v>
      </c>
      <c r="G51" s="969" t="s">
        <v>206</v>
      </c>
      <c r="H51" s="958"/>
      <c r="I51" s="958"/>
      <c r="J51" s="958"/>
      <c r="K51" s="985"/>
      <c r="L51" s="986"/>
      <c r="M51" s="987"/>
      <c r="N51" s="987"/>
      <c r="O51" s="988"/>
      <c r="P51" s="986"/>
    </row>
    <row r="52" spans="1:16">
      <c r="A52" s="994"/>
      <c r="B52" s="961">
        <v>108</v>
      </c>
      <c r="C52" s="968">
        <v>2</v>
      </c>
      <c r="D52" s="969" t="s">
        <v>3800</v>
      </c>
      <c r="E52" s="962" t="s">
        <v>506</v>
      </c>
      <c r="F52" s="969" t="s">
        <v>507</v>
      </c>
      <c r="G52" s="969" t="s">
        <v>206</v>
      </c>
      <c r="H52" s="958"/>
      <c r="I52" s="958"/>
      <c r="J52" s="958"/>
      <c r="K52" s="985"/>
      <c r="L52" s="986"/>
      <c r="M52" s="987"/>
      <c r="N52" s="987"/>
      <c r="O52" s="988"/>
      <c r="P52" s="986"/>
    </row>
    <row r="53" spans="1:16">
      <c r="A53" s="994"/>
      <c r="B53" s="961">
        <v>119</v>
      </c>
      <c r="C53" s="968">
        <v>3</v>
      </c>
      <c r="D53" s="969" t="s">
        <v>4890</v>
      </c>
      <c r="E53" s="962" t="s">
        <v>506</v>
      </c>
      <c r="F53" s="969" t="s">
        <v>507</v>
      </c>
      <c r="G53" s="969" t="s">
        <v>206</v>
      </c>
      <c r="H53" s="958"/>
      <c r="I53" s="958"/>
      <c r="J53" s="958"/>
      <c r="K53" s="985"/>
      <c r="L53" s="986"/>
      <c r="M53" s="987"/>
      <c r="N53" s="987"/>
      <c r="O53" s="988"/>
      <c r="P53" s="986"/>
    </row>
    <row r="54" spans="1:16">
      <c r="A54" s="994"/>
      <c r="B54" s="961">
        <v>163</v>
      </c>
      <c r="C54" s="968">
        <v>4</v>
      </c>
      <c r="D54" s="969" t="s">
        <v>4655</v>
      </c>
      <c r="E54" s="962" t="s">
        <v>506</v>
      </c>
      <c r="F54" s="969" t="s">
        <v>507</v>
      </c>
      <c r="G54" s="969" t="s">
        <v>206</v>
      </c>
      <c r="H54" s="958"/>
      <c r="I54" s="958"/>
      <c r="J54" s="958"/>
      <c r="K54" s="985"/>
      <c r="L54" s="986"/>
      <c r="M54" s="987"/>
      <c r="N54" s="987"/>
      <c r="O54" s="988"/>
      <c r="P54" s="986"/>
    </row>
    <row r="55" spans="1:16">
      <c r="A55" s="994"/>
      <c r="B55" s="961">
        <v>159</v>
      </c>
      <c r="C55" s="968">
        <v>5</v>
      </c>
      <c r="D55" s="969" t="s">
        <v>1115</v>
      </c>
      <c r="E55" s="962" t="s">
        <v>506</v>
      </c>
      <c r="F55" s="969" t="s">
        <v>507</v>
      </c>
      <c r="G55" s="969" t="s">
        <v>206</v>
      </c>
      <c r="H55" s="958"/>
      <c r="I55" s="958"/>
      <c r="J55" s="958"/>
      <c r="K55" s="985"/>
      <c r="L55" s="986"/>
      <c r="M55" s="987"/>
      <c r="N55" s="987"/>
      <c r="O55" s="988"/>
      <c r="P55" s="986"/>
    </row>
    <row r="56" spans="1:16">
      <c r="A56" s="994"/>
      <c r="B56" s="961">
        <v>160</v>
      </c>
      <c r="C56" s="968">
        <v>6</v>
      </c>
      <c r="D56" s="969" t="s">
        <v>1116</v>
      </c>
      <c r="E56" s="962" t="s">
        <v>506</v>
      </c>
      <c r="F56" s="969" t="s">
        <v>507</v>
      </c>
      <c r="G56" s="969" t="s">
        <v>206</v>
      </c>
      <c r="H56" s="958"/>
      <c r="I56" s="958"/>
      <c r="J56" s="958"/>
      <c r="K56" s="985"/>
      <c r="L56" s="986"/>
      <c r="M56" s="987"/>
      <c r="N56" s="987"/>
      <c r="O56" s="988"/>
      <c r="P56" s="986"/>
    </row>
    <row r="57" spans="1:16" ht="21" thickBot="1">
      <c r="A57" s="586"/>
      <c r="B57" s="975">
        <v>155</v>
      </c>
      <c r="C57" s="976">
        <v>7</v>
      </c>
      <c r="D57" s="977" t="s">
        <v>129</v>
      </c>
      <c r="E57" s="978" t="s">
        <v>506</v>
      </c>
      <c r="F57" s="977" t="s">
        <v>507</v>
      </c>
      <c r="G57" s="977" t="s">
        <v>206</v>
      </c>
      <c r="H57" s="958"/>
      <c r="I57" s="958"/>
      <c r="J57" s="958"/>
      <c r="K57" s="985"/>
      <c r="L57" s="986"/>
      <c r="M57" s="987"/>
      <c r="N57" s="987"/>
      <c r="O57" s="988"/>
      <c r="P57" s="986"/>
    </row>
    <row r="58" spans="1:16" ht="21" thickTop="1">
      <c r="A58" s="994"/>
      <c r="B58" s="979">
        <v>204</v>
      </c>
      <c r="C58" s="980">
        <v>8</v>
      </c>
      <c r="D58" s="981" t="s">
        <v>2666</v>
      </c>
      <c r="E58" s="982" t="s">
        <v>506</v>
      </c>
      <c r="F58" s="981" t="s">
        <v>507</v>
      </c>
      <c r="G58" s="981" t="s">
        <v>2156</v>
      </c>
      <c r="H58" s="958"/>
      <c r="I58" s="958"/>
      <c r="J58" s="958"/>
      <c r="K58" s="985"/>
      <c r="L58" s="986"/>
      <c r="M58" s="987"/>
      <c r="N58" s="987"/>
      <c r="O58" s="988"/>
      <c r="P58" s="986"/>
    </row>
    <row r="59" spans="1:16">
      <c r="A59" s="586"/>
      <c r="B59" s="961">
        <v>209</v>
      </c>
      <c r="C59" s="968">
        <v>9</v>
      </c>
      <c r="D59" s="969" t="s">
        <v>4323</v>
      </c>
      <c r="E59" s="982" t="s">
        <v>506</v>
      </c>
      <c r="F59" s="981" t="s">
        <v>507</v>
      </c>
      <c r="G59" s="981" t="s">
        <v>2156</v>
      </c>
      <c r="H59" s="958"/>
      <c r="I59" s="958"/>
      <c r="J59" s="958"/>
      <c r="K59" s="985"/>
      <c r="L59" s="986"/>
      <c r="M59" s="987"/>
      <c r="N59" s="987"/>
      <c r="O59" s="988"/>
      <c r="P59" s="986"/>
    </row>
    <row r="60" spans="1:16">
      <c r="A60" s="994"/>
      <c r="B60" s="961">
        <v>214</v>
      </c>
      <c r="C60" s="968">
        <v>10</v>
      </c>
      <c r="D60" s="969" t="s">
        <v>4364</v>
      </c>
      <c r="E60" s="982" t="s">
        <v>506</v>
      </c>
      <c r="F60" s="981" t="s">
        <v>507</v>
      </c>
      <c r="G60" s="981" t="s">
        <v>2156</v>
      </c>
      <c r="H60" s="958"/>
      <c r="I60" s="958"/>
      <c r="J60" s="958"/>
      <c r="K60" s="985"/>
      <c r="L60" s="986"/>
      <c r="M60" s="987"/>
      <c r="N60" s="987"/>
      <c r="O60" s="988"/>
      <c r="P60" s="986"/>
    </row>
    <row r="61" spans="1:16">
      <c r="A61" s="994"/>
      <c r="B61" s="961">
        <v>210</v>
      </c>
      <c r="C61" s="968">
        <v>11</v>
      </c>
      <c r="D61" s="969" t="s">
        <v>546</v>
      </c>
      <c r="E61" s="982" t="s">
        <v>506</v>
      </c>
      <c r="F61" s="981" t="s">
        <v>507</v>
      </c>
      <c r="G61" s="981" t="s">
        <v>2156</v>
      </c>
      <c r="H61" s="958"/>
      <c r="I61" s="958"/>
      <c r="J61" s="958"/>
      <c r="K61" s="985"/>
      <c r="L61" s="986"/>
      <c r="M61" s="987"/>
      <c r="N61" s="987"/>
      <c r="O61" s="988"/>
      <c r="P61" s="986"/>
    </row>
    <row r="62" spans="1:16">
      <c r="A62" s="994"/>
      <c r="B62" s="979">
        <v>214</v>
      </c>
      <c r="C62" s="968">
        <v>12</v>
      </c>
      <c r="D62" s="981" t="s">
        <v>1669</v>
      </c>
      <c r="E62" s="982" t="s">
        <v>506</v>
      </c>
      <c r="F62" s="981" t="s">
        <v>507</v>
      </c>
      <c r="G62" s="981" t="s">
        <v>2156</v>
      </c>
      <c r="H62" s="958"/>
      <c r="I62" s="958"/>
      <c r="J62" s="958"/>
      <c r="K62" s="985"/>
      <c r="L62" s="986"/>
      <c r="M62" s="987"/>
      <c r="N62" s="987"/>
      <c r="O62" s="988"/>
      <c r="P62" s="986"/>
    </row>
    <row r="63" spans="1:16">
      <c r="A63" s="994"/>
      <c r="B63" s="979">
        <v>216</v>
      </c>
      <c r="C63" s="968">
        <v>13</v>
      </c>
      <c r="D63" s="981" t="s">
        <v>4204</v>
      </c>
      <c r="E63" s="982" t="s">
        <v>506</v>
      </c>
      <c r="F63" s="981" t="s">
        <v>507</v>
      </c>
      <c r="G63" s="981" t="s">
        <v>2156</v>
      </c>
      <c r="H63" s="958"/>
      <c r="I63" s="958"/>
      <c r="J63" s="958"/>
      <c r="K63" s="985"/>
      <c r="L63" s="986"/>
      <c r="M63" s="987"/>
      <c r="N63" s="987"/>
      <c r="O63" s="988"/>
      <c r="P63" s="986"/>
    </row>
    <row r="64" spans="1:16">
      <c r="A64" s="994"/>
      <c r="B64" s="979">
        <v>217</v>
      </c>
      <c r="C64" s="968">
        <v>14</v>
      </c>
      <c r="D64" s="969" t="s">
        <v>1097</v>
      </c>
      <c r="E64" s="982" t="s">
        <v>506</v>
      </c>
      <c r="F64" s="981" t="s">
        <v>507</v>
      </c>
      <c r="G64" s="981" t="s">
        <v>2156</v>
      </c>
      <c r="H64" s="958"/>
      <c r="I64" s="958"/>
      <c r="J64" s="958"/>
      <c r="K64" s="985"/>
      <c r="L64" s="986"/>
      <c r="M64" s="987"/>
      <c r="N64" s="987"/>
      <c r="O64" s="988"/>
      <c r="P64" s="986"/>
    </row>
    <row r="65" spans="1:16">
      <c r="A65" s="994"/>
      <c r="B65" s="979">
        <v>222</v>
      </c>
      <c r="C65" s="968">
        <v>15</v>
      </c>
      <c r="D65" s="981" t="s">
        <v>2636</v>
      </c>
      <c r="E65" s="982" t="s">
        <v>506</v>
      </c>
      <c r="F65" s="981" t="s">
        <v>507</v>
      </c>
      <c r="G65" s="981" t="s">
        <v>2156</v>
      </c>
      <c r="H65" s="958"/>
      <c r="I65" s="958"/>
      <c r="J65" s="958"/>
      <c r="K65" s="985"/>
      <c r="L65" s="986"/>
      <c r="M65" s="987"/>
      <c r="N65" s="987"/>
      <c r="O65" s="988"/>
      <c r="P65" s="986"/>
    </row>
    <row r="66" spans="1:16">
      <c r="A66" s="994"/>
      <c r="B66" s="961">
        <v>224</v>
      </c>
      <c r="C66" s="968">
        <v>16</v>
      </c>
      <c r="D66" s="969" t="s">
        <v>4255</v>
      </c>
      <c r="E66" s="962" t="s">
        <v>506</v>
      </c>
      <c r="F66" s="969" t="s">
        <v>507</v>
      </c>
      <c r="G66" s="969" t="s">
        <v>2156</v>
      </c>
      <c r="H66" s="958"/>
      <c r="I66" s="958"/>
      <c r="J66" s="958"/>
      <c r="K66" s="985"/>
      <c r="L66" s="986"/>
      <c r="M66" s="987"/>
      <c r="N66" s="987"/>
      <c r="O66" s="988"/>
      <c r="P66" s="986"/>
    </row>
    <row r="67" spans="1:16">
      <c r="A67" s="994"/>
      <c r="B67" s="961">
        <v>226</v>
      </c>
      <c r="C67" s="968">
        <v>17</v>
      </c>
      <c r="D67" s="969" t="s">
        <v>1105</v>
      </c>
      <c r="E67" s="962" t="s">
        <v>506</v>
      </c>
      <c r="F67" s="969" t="s">
        <v>507</v>
      </c>
      <c r="G67" s="969" t="s">
        <v>2156</v>
      </c>
      <c r="H67" s="958"/>
      <c r="I67" s="958"/>
      <c r="J67" s="958"/>
      <c r="K67" s="985"/>
      <c r="L67" s="986"/>
      <c r="M67" s="987"/>
      <c r="N67" s="987"/>
      <c r="O67" s="988"/>
      <c r="P67" s="986"/>
    </row>
    <row r="68" spans="1:16">
      <c r="A68" s="994"/>
      <c r="B68" s="961">
        <v>228</v>
      </c>
      <c r="C68" s="968">
        <v>18</v>
      </c>
      <c r="D68" s="969" t="s">
        <v>4363</v>
      </c>
      <c r="E68" s="962" t="s">
        <v>506</v>
      </c>
      <c r="F68" s="969" t="s">
        <v>507</v>
      </c>
      <c r="G68" s="969" t="s">
        <v>2156</v>
      </c>
      <c r="H68" s="958"/>
      <c r="I68" s="958"/>
      <c r="J68" s="958"/>
      <c r="K68" s="985"/>
      <c r="L68" s="986"/>
      <c r="M68" s="987"/>
      <c r="N68" s="987"/>
      <c r="O68" s="988"/>
      <c r="P68" s="986"/>
    </row>
    <row r="69" spans="1:16">
      <c r="A69" s="994"/>
      <c r="B69" s="961">
        <v>233</v>
      </c>
      <c r="C69" s="968">
        <v>19</v>
      </c>
      <c r="D69" s="969" t="s">
        <v>4679</v>
      </c>
      <c r="E69" s="962" t="s">
        <v>506</v>
      </c>
      <c r="F69" s="969" t="s">
        <v>507</v>
      </c>
      <c r="G69" s="969" t="s">
        <v>2156</v>
      </c>
      <c r="H69" s="958"/>
      <c r="I69" s="958"/>
      <c r="J69" s="958"/>
      <c r="K69" s="985"/>
      <c r="L69" s="986"/>
      <c r="M69" s="987"/>
      <c r="N69" s="987"/>
      <c r="O69" s="988"/>
      <c r="P69" s="986"/>
    </row>
    <row r="70" spans="1:16">
      <c r="A70" s="994"/>
      <c r="B70" s="961">
        <v>231</v>
      </c>
      <c r="C70" s="968">
        <v>20</v>
      </c>
      <c r="D70" s="969" t="s">
        <v>279</v>
      </c>
      <c r="E70" s="962" t="s">
        <v>506</v>
      </c>
      <c r="F70" s="969" t="s">
        <v>507</v>
      </c>
      <c r="G70" s="969" t="s">
        <v>2156</v>
      </c>
      <c r="H70" s="958"/>
      <c r="I70" s="958"/>
      <c r="J70" s="958"/>
      <c r="K70" s="985"/>
      <c r="L70" s="986"/>
      <c r="M70" s="987"/>
      <c r="N70" s="987"/>
      <c r="O70" s="988"/>
      <c r="P70" s="986"/>
    </row>
    <row r="71" spans="1:16">
      <c r="A71" s="994"/>
      <c r="B71" s="961">
        <v>237</v>
      </c>
      <c r="C71" s="968">
        <v>21</v>
      </c>
      <c r="D71" s="969" t="s">
        <v>1667</v>
      </c>
      <c r="E71" s="962" t="s">
        <v>506</v>
      </c>
      <c r="F71" s="969" t="s">
        <v>507</v>
      </c>
      <c r="G71" s="969" t="s">
        <v>2156</v>
      </c>
      <c r="H71" s="958"/>
      <c r="I71" s="958"/>
      <c r="J71" s="958"/>
      <c r="K71" s="985"/>
      <c r="L71" s="986"/>
      <c r="M71" s="987"/>
      <c r="N71" s="987"/>
      <c r="O71" s="988"/>
      <c r="P71" s="986"/>
    </row>
    <row r="72" spans="1:16">
      <c r="A72" s="994"/>
      <c r="B72" s="961">
        <v>234</v>
      </c>
      <c r="C72" s="968">
        <v>22</v>
      </c>
      <c r="D72" s="969" t="s">
        <v>669</v>
      </c>
      <c r="E72" s="962" t="s">
        <v>506</v>
      </c>
      <c r="F72" s="969" t="s">
        <v>507</v>
      </c>
      <c r="G72" s="969" t="s">
        <v>2156</v>
      </c>
      <c r="H72" s="958"/>
      <c r="I72" s="958"/>
      <c r="J72" s="958"/>
      <c r="K72" s="985"/>
      <c r="L72" s="986"/>
      <c r="M72" s="987"/>
      <c r="N72" s="987"/>
      <c r="O72" s="988"/>
      <c r="P72" s="986"/>
    </row>
    <row r="73" spans="1:16">
      <c r="A73" s="992"/>
      <c r="B73" t="s">
        <v>5018</v>
      </c>
      <c r="H73" s="75"/>
      <c r="I73" s="75"/>
      <c r="J73" s="75"/>
      <c r="K73" s="75"/>
      <c r="L73" s="75"/>
      <c r="M73" s="75"/>
      <c r="N73" s="75"/>
      <c r="O73" s="75"/>
      <c r="P73" s="75"/>
    </row>
    <row r="74" spans="1:16">
      <c r="C74" s="955" t="s">
        <v>1574</v>
      </c>
      <c r="G74" s="957"/>
      <c r="H74" s="958"/>
      <c r="I74" s="958"/>
      <c r="J74" s="958"/>
      <c r="K74" s="985"/>
      <c r="L74" s="986"/>
      <c r="M74" s="3927"/>
      <c r="N74" s="3927"/>
      <c r="O74" s="986"/>
      <c r="P74" s="3931"/>
    </row>
    <row r="75" spans="1:16">
      <c r="B75" s="427" t="s">
        <v>3940</v>
      </c>
      <c r="C75" s="955"/>
      <c r="G75" s="989">
        <v>40014</v>
      </c>
      <c r="H75" s="958"/>
      <c r="I75" s="958"/>
      <c r="J75" s="958"/>
      <c r="K75" s="985"/>
      <c r="L75" s="986"/>
      <c r="M75" s="958"/>
      <c r="N75" s="958"/>
      <c r="O75" s="986"/>
      <c r="P75" s="3931"/>
    </row>
    <row r="76" spans="1:16" ht="16.5">
      <c r="A76" s="585"/>
      <c r="B76" s="961" t="s">
        <v>1575</v>
      </c>
      <c r="C76" s="961" t="s">
        <v>1098</v>
      </c>
      <c r="D76" s="962" t="s">
        <v>2613</v>
      </c>
      <c r="E76" s="963" t="s">
        <v>136</v>
      </c>
      <c r="F76" s="964" t="s">
        <v>371</v>
      </c>
      <c r="G76" s="964" t="s">
        <v>5004</v>
      </c>
      <c r="H76" s="958"/>
      <c r="I76" s="958"/>
      <c r="J76" s="958"/>
      <c r="K76" s="985"/>
      <c r="L76" s="986"/>
      <c r="M76" s="958"/>
      <c r="N76" s="958"/>
      <c r="O76" s="986"/>
      <c r="P76" s="3931"/>
    </row>
    <row r="77" spans="1:16" ht="20.25" customHeight="1">
      <c r="A77" s="829"/>
      <c r="B77" s="990">
        <v>105</v>
      </c>
      <c r="C77" s="968">
        <v>1</v>
      </c>
      <c r="D77" s="969" t="s">
        <v>672</v>
      </c>
      <c r="E77" s="962" t="s">
        <v>506</v>
      </c>
      <c r="F77" s="969" t="s">
        <v>507</v>
      </c>
      <c r="G77" s="969" t="s">
        <v>206</v>
      </c>
      <c r="H77" s="958"/>
      <c r="I77" s="958"/>
      <c r="J77" s="958"/>
      <c r="K77" s="985"/>
      <c r="L77" s="986"/>
      <c r="M77" s="958"/>
      <c r="N77" s="958"/>
      <c r="O77" s="986"/>
      <c r="P77" s="880"/>
    </row>
    <row r="78" spans="1:16">
      <c r="A78" s="585"/>
      <c r="B78" s="961">
        <v>114</v>
      </c>
      <c r="C78" s="968">
        <v>2</v>
      </c>
      <c r="D78" s="969" t="s">
        <v>1257</v>
      </c>
      <c r="E78" s="962" t="s">
        <v>506</v>
      </c>
      <c r="F78" s="969" t="s">
        <v>507</v>
      </c>
      <c r="G78" s="969" t="s">
        <v>206</v>
      </c>
      <c r="H78" s="958"/>
      <c r="I78" s="958"/>
      <c r="J78" s="958"/>
      <c r="K78" s="985"/>
      <c r="L78" s="986"/>
      <c r="M78" s="987"/>
      <c r="N78" s="987"/>
      <c r="O78" s="988"/>
      <c r="P78" s="986"/>
    </row>
    <row r="79" spans="1:16">
      <c r="A79" s="585"/>
      <c r="B79" s="961">
        <v>111</v>
      </c>
      <c r="C79" s="968">
        <v>3</v>
      </c>
      <c r="D79" s="969" t="s">
        <v>4926</v>
      </c>
      <c r="E79" s="962" t="s">
        <v>506</v>
      </c>
      <c r="F79" s="969" t="s">
        <v>507</v>
      </c>
      <c r="G79" s="969" t="s">
        <v>206</v>
      </c>
      <c r="H79" s="958"/>
      <c r="I79" s="958"/>
      <c r="J79" s="958"/>
      <c r="K79" s="985"/>
      <c r="L79" s="986"/>
      <c r="M79" s="987"/>
      <c r="N79" s="987"/>
      <c r="O79" s="988"/>
      <c r="P79" s="986"/>
    </row>
    <row r="80" spans="1:16">
      <c r="A80" s="829"/>
      <c r="B80" s="990">
        <v>122</v>
      </c>
      <c r="C80" s="968">
        <v>4</v>
      </c>
      <c r="D80" s="969" t="s">
        <v>742</v>
      </c>
      <c r="E80" s="962" t="s">
        <v>506</v>
      </c>
      <c r="F80" s="969" t="s">
        <v>507</v>
      </c>
      <c r="G80" s="969" t="s">
        <v>206</v>
      </c>
      <c r="H80" s="958"/>
      <c r="I80" s="958"/>
      <c r="J80" s="958"/>
      <c r="K80" s="985"/>
      <c r="L80" s="986"/>
      <c r="M80" s="987"/>
      <c r="N80" s="987"/>
      <c r="O80" s="988"/>
      <c r="P80" s="986"/>
    </row>
    <row r="81" spans="1:16">
      <c r="A81" s="585"/>
      <c r="B81" s="961">
        <v>123</v>
      </c>
      <c r="C81" s="968">
        <v>5</v>
      </c>
      <c r="D81" s="969" t="s">
        <v>813</v>
      </c>
      <c r="E81" s="962" t="s">
        <v>506</v>
      </c>
      <c r="F81" s="969" t="s">
        <v>507</v>
      </c>
      <c r="G81" s="969" t="s">
        <v>206</v>
      </c>
      <c r="H81" s="958"/>
      <c r="I81" s="958"/>
      <c r="J81" s="958"/>
      <c r="K81" s="985"/>
      <c r="L81" s="986"/>
      <c r="M81" s="987"/>
      <c r="N81" s="987"/>
      <c r="O81" s="988"/>
      <c r="P81" s="986"/>
    </row>
    <row r="82" spans="1:16">
      <c r="A82" s="829"/>
      <c r="B82" s="990">
        <v>169</v>
      </c>
      <c r="C82" s="968">
        <v>6</v>
      </c>
      <c r="D82" s="969" t="s">
        <v>903</v>
      </c>
      <c r="E82" s="962" t="s">
        <v>506</v>
      </c>
      <c r="F82" s="969" t="s">
        <v>507</v>
      </c>
      <c r="G82" s="969" t="s">
        <v>206</v>
      </c>
      <c r="H82" s="958"/>
      <c r="I82" s="958"/>
      <c r="J82" s="958"/>
      <c r="K82" s="985"/>
      <c r="L82" s="986"/>
      <c r="M82" s="987"/>
      <c r="N82" s="987"/>
      <c r="O82" s="988"/>
      <c r="P82" s="986"/>
    </row>
    <row r="83" spans="1:16">
      <c r="A83" s="829"/>
      <c r="B83" s="990">
        <v>170</v>
      </c>
      <c r="C83" s="968">
        <v>7</v>
      </c>
      <c r="D83" s="969" t="s">
        <v>904</v>
      </c>
      <c r="E83" s="962" t="s">
        <v>506</v>
      </c>
      <c r="F83" s="969" t="s">
        <v>507</v>
      </c>
      <c r="G83" s="969" t="s">
        <v>206</v>
      </c>
      <c r="H83" s="958"/>
      <c r="I83" s="958"/>
      <c r="J83" s="958"/>
      <c r="K83" s="985"/>
      <c r="L83" s="986"/>
      <c r="M83" s="987"/>
      <c r="N83" s="987"/>
      <c r="O83" s="988"/>
      <c r="P83" s="986"/>
    </row>
    <row r="84" spans="1:16">
      <c r="A84" s="829"/>
      <c r="B84" s="990">
        <v>161</v>
      </c>
      <c r="C84" s="968">
        <v>8</v>
      </c>
      <c r="D84" s="969" t="s">
        <v>1117</v>
      </c>
      <c r="E84" s="962" t="s">
        <v>506</v>
      </c>
      <c r="F84" s="969" t="s">
        <v>507</v>
      </c>
      <c r="G84" s="969" t="s">
        <v>206</v>
      </c>
      <c r="H84" s="958"/>
      <c r="I84" s="958"/>
      <c r="J84" s="958"/>
      <c r="K84" s="985"/>
      <c r="L84" s="986"/>
      <c r="M84" s="987"/>
      <c r="N84" s="987"/>
      <c r="O84" s="988"/>
      <c r="P84" s="986"/>
    </row>
    <row r="85" spans="1:16">
      <c r="A85" s="585"/>
      <c r="B85" s="979">
        <v>156</v>
      </c>
      <c r="C85" s="968">
        <v>9</v>
      </c>
      <c r="D85" s="981" t="s">
        <v>130</v>
      </c>
      <c r="E85" s="962" t="s">
        <v>506</v>
      </c>
      <c r="F85" s="969" t="s">
        <v>507</v>
      </c>
      <c r="G85" s="969" t="s">
        <v>206</v>
      </c>
      <c r="H85" s="958"/>
      <c r="I85" s="958"/>
      <c r="J85" s="958"/>
      <c r="K85" s="985"/>
      <c r="L85" s="986"/>
      <c r="M85" s="987"/>
      <c r="N85" s="987"/>
      <c r="O85" s="988"/>
      <c r="P85" s="986"/>
    </row>
    <row r="86" spans="1:16">
      <c r="A86" s="585"/>
      <c r="B86" s="979">
        <v>151</v>
      </c>
      <c r="C86" s="968">
        <v>10</v>
      </c>
      <c r="D86" s="981" t="s">
        <v>815</v>
      </c>
      <c r="E86" s="962" t="s">
        <v>506</v>
      </c>
      <c r="F86" s="969" t="s">
        <v>507</v>
      </c>
      <c r="G86" s="969" t="s">
        <v>206</v>
      </c>
      <c r="H86" s="958"/>
      <c r="I86" s="958"/>
      <c r="J86" s="958"/>
      <c r="K86" s="985"/>
      <c r="L86" s="986"/>
      <c r="M86" s="987"/>
      <c r="N86" s="987"/>
      <c r="O86" s="988"/>
      <c r="P86" s="986"/>
    </row>
    <row r="87" spans="1:16">
      <c r="A87" s="829"/>
      <c r="B87" s="991">
        <v>162</v>
      </c>
      <c r="C87" s="968">
        <v>11</v>
      </c>
      <c r="D87" s="981" t="s">
        <v>4654</v>
      </c>
      <c r="E87" s="962" t="s">
        <v>506</v>
      </c>
      <c r="F87" s="969" t="s">
        <v>507</v>
      </c>
      <c r="G87" s="969" t="s">
        <v>206</v>
      </c>
      <c r="H87" s="958"/>
      <c r="I87" s="958"/>
      <c r="J87" s="958"/>
      <c r="K87" s="985"/>
      <c r="L87" s="986"/>
      <c r="M87" s="987"/>
      <c r="N87" s="987"/>
      <c r="O87" s="988"/>
      <c r="P87" s="986"/>
    </row>
    <row r="88" spans="1:16" ht="21" thickBot="1">
      <c r="A88" s="585"/>
      <c r="B88" s="975">
        <v>124</v>
      </c>
      <c r="C88" s="976">
        <v>12</v>
      </c>
      <c r="D88" s="977" t="s">
        <v>814</v>
      </c>
      <c r="E88" s="978" t="s">
        <v>506</v>
      </c>
      <c r="F88" s="977" t="s">
        <v>507</v>
      </c>
      <c r="G88" s="977" t="s">
        <v>206</v>
      </c>
      <c r="H88" s="958"/>
      <c r="I88" s="958"/>
      <c r="J88" s="958"/>
      <c r="K88" s="985"/>
      <c r="L88" s="986"/>
      <c r="M88" s="987"/>
      <c r="N88" s="987"/>
      <c r="O88" s="988"/>
      <c r="P88" s="986"/>
    </row>
    <row r="89" spans="1:16" ht="21" thickTop="1">
      <c r="A89" s="829"/>
      <c r="B89" s="991">
        <v>202</v>
      </c>
      <c r="C89" s="980">
        <v>13</v>
      </c>
      <c r="D89" s="981" t="s">
        <v>861</v>
      </c>
      <c r="E89" s="982" t="s">
        <v>506</v>
      </c>
      <c r="F89" s="981" t="s">
        <v>507</v>
      </c>
      <c r="G89" s="981" t="s">
        <v>2156</v>
      </c>
      <c r="H89" s="958"/>
      <c r="I89" s="958"/>
      <c r="J89" s="958"/>
      <c r="K89" s="985"/>
      <c r="L89" s="986"/>
      <c r="M89" s="987"/>
      <c r="N89" s="987"/>
      <c r="O89" s="988"/>
      <c r="P89" s="986"/>
    </row>
    <row r="90" spans="1:16">
      <c r="A90" s="829"/>
      <c r="B90" s="990">
        <v>201</v>
      </c>
      <c r="C90" s="968">
        <v>14</v>
      </c>
      <c r="D90" s="969" t="s">
        <v>2101</v>
      </c>
      <c r="E90" s="962" t="s">
        <v>506</v>
      </c>
      <c r="F90" s="969" t="s">
        <v>507</v>
      </c>
      <c r="G90" s="969" t="s">
        <v>2156</v>
      </c>
      <c r="H90" s="958"/>
      <c r="I90" s="958"/>
      <c r="J90" s="958"/>
      <c r="K90" s="985"/>
      <c r="L90" s="986"/>
      <c r="M90" s="987"/>
      <c r="N90" s="987"/>
      <c r="O90" s="988"/>
      <c r="P90" s="986"/>
    </row>
    <row r="91" spans="1:16">
      <c r="A91" s="829"/>
      <c r="B91" s="990">
        <v>221</v>
      </c>
      <c r="C91" s="968">
        <v>15</v>
      </c>
      <c r="D91" s="969" t="s">
        <v>1106</v>
      </c>
      <c r="E91" s="962" t="s">
        <v>506</v>
      </c>
      <c r="F91" s="969" t="s">
        <v>507</v>
      </c>
      <c r="G91" s="969" t="s">
        <v>2156</v>
      </c>
      <c r="H91" s="958"/>
      <c r="I91" s="958"/>
      <c r="J91" s="958"/>
      <c r="K91" s="985"/>
      <c r="L91" s="986"/>
      <c r="M91" s="987"/>
      <c r="N91" s="987"/>
      <c r="O91" s="988"/>
      <c r="P91" s="986"/>
    </row>
    <row r="92" spans="1:16">
      <c r="A92" s="757"/>
      <c r="B92" s="961">
        <v>224</v>
      </c>
      <c r="C92" s="968">
        <v>16</v>
      </c>
      <c r="D92" s="969" t="s">
        <v>4255</v>
      </c>
      <c r="E92" s="962" t="s">
        <v>506</v>
      </c>
      <c r="F92" s="969" t="s">
        <v>507</v>
      </c>
      <c r="G92" s="969" t="s">
        <v>2156</v>
      </c>
      <c r="H92" s="958"/>
      <c r="I92" s="958"/>
      <c r="J92" s="958"/>
      <c r="K92" s="985"/>
      <c r="L92" s="986"/>
      <c r="M92" s="987"/>
      <c r="N92" s="987"/>
      <c r="O92" s="988"/>
      <c r="P92" s="986"/>
    </row>
    <row r="93" spans="1:16">
      <c r="A93" s="829"/>
      <c r="B93" s="990">
        <v>226</v>
      </c>
      <c r="C93" s="968">
        <v>17</v>
      </c>
      <c r="D93" s="969" t="s">
        <v>1105</v>
      </c>
      <c r="E93" s="962" t="s">
        <v>506</v>
      </c>
      <c r="F93" s="969" t="s">
        <v>507</v>
      </c>
      <c r="G93" s="969" t="s">
        <v>2156</v>
      </c>
      <c r="H93" s="958"/>
      <c r="I93" s="958"/>
      <c r="J93" s="958"/>
      <c r="K93" s="985"/>
      <c r="L93" s="986"/>
      <c r="M93" s="987"/>
      <c r="N93" s="987"/>
      <c r="O93" s="988"/>
      <c r="P93" s="986"/>
    </row>
    <row r="94" spans="1:16">
      <c r="A94" s="757"/>
      <c r="B94" s="961">
        <v>227</v>
      </c>
      <c r="C94" s="968">
        <v>18</v>
      </c>
      <c r="D94" s="969" t="s">
        <v>282</v>
      </c>
      <c r="E94" s="962" t="s">
        <v>506</v>
      </c>
      <c r="F94" s="969" t="s">
        <v>507</v>
      </c>
      <c r="G94" s="969" t="s">
        <v>2156</v>
      </c>
      <c r="H94" s="958"/>
      <c r="I94" s="958"/>
      <c r="J94" s="958"/>
      <c r="K94" s="985"/>
      <c r="L94" s="986"/>
      <c r="M94" s="987"/>
      <c r="N94" s="987"/>
      <c r="O94" s="988"/>
      <c r="P94" s="986"/>
    </row>
    <row r="95" spans="1:16">
      <c r="A95" s="829"/>
      <c r="B95" s="990">
        <v>230</v>
      </c>
      <c r="C95" s="968">
        <v>19</v>
      </c>
      <c r="D95" s="969" t="s">
        <v>497</v>
      </c>
      <c r="E95" s="962" t="s">
        <v>506</v>
      </c>
      <c r="F95" s="969" t="s">
        <v>507</v>
      </c>
      <c r="G95" s="969" t="s">
        <v>2156</v>
      </c>
      <c r="H95" s="958"/>
      <c r="I95" s="958"/>
      <c r="J95" s="958"/>
      <c r="K95" s="985"/>
      <c r="L95" s="986"/>
      <c r="M95" s="987"/>
      <c r="N95" s="987"/>
      <c r="O95" s="988"/>
      <c r="P95" s="986"/>
    </row>
    <row r="96" spans="1:16">
      <c r="A96" s="829"/>
      <c r="B96" s="990">
        <v>232</v>
      </c>
      <c r="C96" s="968">
        <v>20</v>
      </c>
      <c r="D96" s="969" t="s">
        <v>280</v>
      </c>
      <c r="E96" s="962" t="s">
        <v>506</v>
      </c>
      <c r="F96" s="969" t="s">
        <v>507</v>
      </c>
      <c r="G96" s="969" t="s">
        <v>2156</v>
      </c>
      <c r="H96" s="958"/>
      <c r="I96" s="958"/>
      <c r="J96" s="958"/>
      <c r="K96" s="985"/>
      <c r="L96" s="986"/>
      <c r="M96" s="987"/>
      <c r="N96" s="987"/>
      <c r="O96" s="988"/>
      <c r="P96" s="986"/>
    </row>
    <row r="97" spans="1:16">
      <c r="A97" s="992"/>
      <c r="B97" t="s">
        <v>5018</v>
      </c>
      <c r="H97" s="75"/>
      <c r="I97" s="75"/>
      <c r="J97" s="75"/>
      <c r="K97" s="75"/>
      <c r="L97" s="75"/>
      <c r="M97" s="75"/>
      <c r="N97" s="75"/>
      <c r="O97" s="75"/>
      <c r="P97" s="75"/>
    </row>
    <row r="98" spans="1:16">
      <c r="C98" s="955" t="s">
        <v>1574</v>
      </c>
      <c r="G98" s="957"/>
      <c r="H98" s="958"/>
      <c r="I98" s="958"/>
      <c r="J98" s="958"/>
      <c r="K98" s="959"/>
      <c r="L98" s="757"/>
      <c r="M98" s="3932" t="s">
        <v>762</v>
      </c>
      <c r="N98" s="3932"/>
      <c r="O98" s="757"/>
      <c r="P98" s="3933" t="s">
        <v>3443</v>
      </c>
    </row>
    <row r="99" spans="1:16">
      <c r="B99" s="427" t="s">
        <v>3940</v>
      </c>
      <c r="C99" s="955"/>
      <c r="G99" s="957"/>
      <c r="H99" s="958"/>
      <c r="I99" s="958"/>
      <c r="J99" s="958"/>
      <c r="K99" s="959"/>
      <c r="L99" s="757"/>
      <c r="M99" s="960"/>
      <c r="N99" s="960"/>
      <c r="O99" s="757"/>
      <c r="P99" s="3934"/>
    </row>
    <row r="100" spans="1:16" ht="16.5">
      <c r="B100" s="961" t="s">
        <v>1575</v>
      </c>
      <c r="C100" s="961" t="s">
        <v>1098</v>
      </c>
      <c r="D100" s="962" t="s">
        <v>2613</v>
      </c>
      <c r="E100" s="963" t="s">
        <v>136</v>
      </c>
      <c r="F100" s="964" t="s">
        <v>371</v>
      </c>
      <c r="G100" s="964" t="s">
        <v>5004</v>
      </c>
      <c r="H100" s="965"/>
      <c r="I100" s="965"/>
      <c r="J100" s="965"/>
      <c r="K100" s="966" t="s">
        <v>372</v>
      </c>
      <c r="L100" s="967"/>
      <c r="M100" s="960" t="s">
        <v>1294</v>
      </c>
      <c r="N100" s="960" t="s">
        <v>4365</v>
      </c>
      <c r="O100" s="757"/>
      <c r="P100" s="3935"/>
    </row>
    <row r="101" spans="1:16">
      <c r="B101" s="961">
        <v>157</v>
      </c>
      <c r="C101" s="968">
        <v>1</v>
      </c>
      <c r="D101" s="969" t="s">
        <v>131</v>
      </c>
      <c r="E101" s="962" t="s">
        <v>506</v>
      </c>
      <c r="F101" s="969" t="s">
        <v>507</v>
      </c>
      <c r="G101" s="969" t="s">
        <v>206</v>
      </c>
      <c r="H101" s="965"/>
      <c r="I101" s="965"/>
      <c r="J101" s="965"/>
      <c r="K101" s="966" t="s">
        <v>508</v>
      </c>
      <c r="L101" s="970"/>
      <c r="M101" s="971">
        <v>39939</v>
      </c>
      <c r="N101" s="971">
        <v>40123</v>
      </c>
      <c r="O101" s="972">
        <f ca="1">TODAY()</f>
        <v>43895</v>
      </c>
      <c r="P101" s="970" t="str">
        <f t="shared" ref="P101:P120" ca="1" si="0">IF(O101&gt;N101,"VENCIDO","VIGENTE")</f>
        <v>VENCIDO</v>
      </c>
    </row>
    <row r="102" spans="1:16">
      <c r="B102" s="961">
        <v>166</v>
      </c>
      <c r="C102" s="968">
        <v>2</v>
      </c>
      <c r="D102" s="969" t="s">
        <v>900</v>
      </c>
      <c r="E102" s="962" t="s">
        <v>506</v>
      </c>
      <c r="F102" s="969" t="s">
        <v>507</v>
      </c>
      <c r="G102" s="969" t="s">
        <v>206</v>
      </c>
      <c r="H102" s="965"/>
      <c r="I102" s="965"/>
      <c r="J102" s="965"/>
      <c r="K102" s="966" t="s">
        <v>3616</v>
      </c>
      <c r="L102" s="970"/>
      <c r="M102" s="973">
        <v>39940</v>
      </c>
      <c r="N102" s="973">
        <v>40124</v>
      </c>
      <c r="O102" s="974">
        <f ca="1">+O129</f>
        <v>43895</v>
      </c>
      <c r="P102" s="970" t="str">
        <f t="shared" ca="1" si="0"/>
        <v>VENCIDO</v>
      </c>
    </row>
    <row r="103" spans="1:16">
      <c r="B103" s="961">
        <v>167</v>
      </c>
      <c r="C103" s="968">
        <v>3</v>
      </c>
      <c r="D103" s="969" t="s">
        <v>901</v>
      </c>
      <c r="E103" s="962" t="s">
        <v>506</v>
      </c>
      <c r="F103" s="969" t="s">
        <v>507</v>
      </c>
      <c r="G103" s="969" t="s">
        <v>206</v>
      </c>
      <c r="H103" s="965"/>
      <c r="I103" s="965"/>
      <c r="J103" s="965"/>
      <c r="K103" s="966" t="s">
        <v>3617</v>
      </c>
      <c r="L103" s="970"/>
      <c r="M103" s="973">
        <v>39940</v>
      </c>
      <c r="N103" s="973">
        <v>40124</v>
      </c>
      <c r="O103" s="974">
        <f t="shared" ref="O103:O108" ca="1" si="1">+O102</f>
        <v>43895</v>
      </c>
      <c r="P103" s="970" t="str">
        <f t="shared" ca="1" si="0"/>
        <v>VENCIDO</v>
      </c>
    </row>
    <row r="104" spans="1:16">
      <c r="B104" s="961">
        <v>165</v>
      </c>
      <c r="C104" s="968">
        <v>4</v>
      </c>
      <c r="D104" s="969" t="s">
        <v>4657</v>
      </c>
      <c r="E104" s="962" t="s">
        <v>506</v>
      </c>
      <c r="F104" s="969" t="s">
        <v>507</v>
      </c>
      <c r="G104" s="969" t="s">
        <v>206</v>
      </c>
      <c r="H104" s="965"/>
      <c r="I104" s="965"/>
      <c r="J104" s="965"/>
      <c r="K104" s="966" t="s">
        <v>3615</v>
      </c>
      <c r="L104" s="970"/>
      <c r="M104" s="973">
        <v>39945</v>
      </c>
      <c r="N104" s="973">
        <v>40129</v>
      </c>
      <c r="O104" s="974">
        <f t="shared" ca="1" si="1"/>
        <v>43895</v>
      </c>
      <c r="P104" s="970" t="str">
        <f t="shared" ca="1" si="0"/>
        <v>VENCIDO</v>
      </c>
    </row>
    <row r="105" spans="1:16">
      <c r="B105" s="961">
        <v>164</v>
      </c>
      <c r="C105" s="968">
        <v>5</v>
      </c>
      <c r="D105" s="969" t="s">
        <v>4656</v>
      </c>
      <c r="E105" s="962" t="s">
        <v>506</v>
      </c>
      <c r="F105" s="969" t="s">
        <v>507</v>
      </c>
      <c r="G105" s="969" t="s">
        <v>206</v>
      </c>
      <c r="H105" s="965"/>
      <c r="I105" s="965"/>
      <c r="J105" s="965"/>
      <c r="K105" s="966" t="s">
        <v>3614</v>
      </c>
      <c r="L105" s="970"/>
      <c r="M105" s="973">
        <v>39946</v>
      </c>
      <c r="N105" s="973">
        <v>40130</v>
      </c>
      <c r="O105" s="974">
        <f t="shared" ca="1" si="1"/>
        <v>43895</v>
      </c>
      <c r="P105" s="970" t="str">
        <f t="shared" ca="1" si="0"/>
        <v>VENCIDO</v>
      </c>
    </row>
    <row r="106" spans="1:16">
      <c r="B106" s="961">
        <v>152</v>
      </c>
      <c r="C106" s="968">
        <v>6</v>
      </c>
      <c r="D106" s="969" t="s">
        <v>816</v>
      </c>
      <c r="E106" s="962" t="s">
        <v>506</v>
      </c>
      <c r="F106" s="969" t="s">
        <v>507</v>
      </c>
      <c r="G106" s="969" t="s">
        <v>206</v>
      </c>
      <c r="H106" s="965"/>
      <c r="I106" s="965"/>
      <c r="J106" s="965"/>
      <c r="K106" s="966" t="s">
        <v>2938</v>
      </c>
      <c r="L106" s="970"/>
      <c r="M106" s="973">
        <v>39947</v>
      </c>
      <c r="N106" s="973">
        <v>40131</v>
      </c>
      <c r="O106" s="974">
        <f t="shared" ca="1" si="1"/>
        <v>43895</v>
      </c>
      <c r="P106" s="970" t="str">
        <f t="shared" ca="1" si="0"/>
        <v>VENCIDO</v>
      </c>
    </row>
    <row r="107" spans="1:16">
      <c r="B107" s="961">
        <v>153</v>
      </c>
      <c r="C107" s="968">
        <v>7</v>
      </c>
      <c r="D107" s="969" t="s">
        <v>2837</v>
      </c>
      <c r="E107" s="962" t="s">
        <v>506</v>
      </c>
      <c r="F107" s="969" t="s">
        <v>507</v>
      </c>
      <c r="G107" s="969" t="s">
        <v>206</v>
      </c>
      <c r="H107" s="965"/>
      <c r="I107" s="965"/>
      <c r="J107" s="965"/>
      <c r="K107" s="966" t="s">
        <v>2939</v>
      </c>
      <c r="L107" s="970"/>
      <c r="M107" s="973">
        <v>39947</v>
      </c>
      <c r="N107" s="973">
        <v>40131</v>
      </c>
      <c r="O107" s="974">
        <f t="shared" ca="1" si="1"/>
        <v>43895</v>
      </c>
      <c r="P107" s="970" t="str">
        <f t="shared" ca="1" si="0"/>
        <v>VENCIDO</v>
      </c>
    </row>
    <row r="108" spans="1:16">
      <c r="B108" s="961">
        <v>101</v>
      </c>
      <c r="C108" s="968">
        <v>8</v>
      </c>
      <c r="D108" s="969" t="s">
        <v>2270</v>
      </c>
      <c r="E108" s="962" t="s">
        <v>506</v>
      </c>
      <c r="F108" s="969" t="s">
        <v>507</v>
      </c>
      <c r="G108" s="969" t="s">
        <v>206</v>
      </c>
      <c r="H108" s="965"/>
      <c r="I108" s="965"/>
      <c r="J108" s="965"/>
      <c r="K108" s="966" t="s">
        <v>509</v>
      </c>
      <c r="L108" s="970"/>
      <c r="M108" s="973">
        <v>39951</v>
      </c>
      <c r="N108" s="973">
        <v>40135</v>
      </c>
      <c r="O108" s="974">
        <f t="shared" ca="1" si="1"/>
        <v>43895</v>
      </c>
      <c r="P108" s="970" t="str">
        <f t="shared" ca="1" si="0"/>
        <v>VENCIDO</v>
      </c>
    </row>
    <row r="109" spans="1:16">
      <c r="B109" s="961">
        <v>158</v>
      </c>
      <c r="C109" s="968">
        <v>9</v>
      </c>
      <c r="D109" s="969" t="s">
        <v>132</v>
      </c>
      <c r="E109" s="962" t="s">
        <v>506</v>
      </c>
      <c r="F109" s="969" t="s">
        <v>507</v>
      </c>
      <c r="G109" s="969" t="s">
        <v>206</v>
      </c>
      <c r="H109" s="965"/>
      <c r="I109" s="965"/>
      <c r="J109" s="965"/>
      <c r="K109" s="966" t="s">
        <v>86</v>
      </c>
      <c r="L109" s="970"/>
      <c r="M109" s="973">
        <v>39951</v>
      </c>
      <c r="N109" s="973">
        <v>40135</v>
      </c>
      <c r="O109" s="974">
        <f ca="1">+O124</f>
        <v>43895</v>
      </c>
      <c r="P109" s="970" t="str">
        <f t="shared" ca="1" si="0"/>
        <v>VENCIDO</v>
      </c>
    </row>
    <row r="110" spans="1:16" ht="21" thickBot="1">
      <c r="B110" s="975">
        <v>154</v>
      </c>
      <c r="C110" s="976">
        <v>10</v>
      </c>
      <c r="D110" s="977" t="s">
        <v>1555</v>
      </c>
      <c r="E110" s="978" t="s">
        <v>506</v>
      </c>
      <c r="F110" s="977" t="s">
        <v>507</v>
      </c>
      <c r="G110" s="977" t="s">
        <v>206</v>
      </c>
      <c r="H110" s="965"/>
      <c r="I110" s="965"/>
      <c r="J110" s="965"/>
      <c r="K110" s="966" t="s">
        <v>3863</v>
      </c>
      <c r="L110" s="970"/>
      <c r="M110" s="973">
        <v>39968</v>
      </c>
      <c r="N110" s="973">
        <v>40151</v>
      </c>
      <c r="O110" s="974">
        <f ca="1">+O109</f>
        <v>43895</v>
      </c>
      <c r="P110" s="970" t="str">
        <f t="shared" ca="1" si="0"/>
        <v>VENCIDO</v>
      </c>
    </row>
    <row r="111" spans="1:16" ht="21" thickTop="1">
      <c r="B111" s="979">
        <v>215</v>
      </c>
      <c r="C111" s="980">
        <v>11</v>
      </c>
      <c r="D111" s="981" t="s">
        <v>4360</v>
      </c>
      <c r="E111" s="982" t="s">
        <v>506</v>
      </c>
      <c r="F111" s="981" t="s">
        <v>507</v>
      </c>
      <c r="G111" s="981" t="s">
        <v>2156</v>
      </c>
      <c r="H111" s="965"/>
      <c r="I111" s="965"/>
      <c r="J111" s="965"/>
      <c r="K111" s="966" t="s">
        <v>3752</v>
      </c>
      <c r="L111" s="970"/>
      <c r="M111" s="973">
        <v>39938</v>
      </c>
      <c r="N111" s="973">
        <v>40122</v>
      </c>
      <c r="O111" s="974">
        <f ca="1">+O133</f>
        <v>43895</v>
      </c>
      <c r="P111" s="970" t="str">
        <f t="shared" ca="1" si="0"/>
        <v>VENCIDO</v>
      </c>
    </row>
    <row r="112" spans="1:16">
      <c r="B112" s="961">
        <v>229</v>
      </c>
      <c r="C112" s="968">
        <v>12</v>
      </c>
      <c r="D112" s="969" t="s">
        <v>498</v>
      </c>
      <c r="E112" s="962" t="s">
        <v>506</v>
      </c>
      <c r="F112" s="969" t="s">
        <v>507</v>
      </c>
      <c r="G112" s="969" t="s">
        <v>2156</v>
      </c>
      <c r="H112" s="965"/>
      <c r="I112" s="965"/>
      <c r="J112" s="965"/>
      <c r="K112" s="966" t="s">
        <v>2142</v>
      </c>
      <c r="L112" s="970"/>
      <c r="M112" s="973">
        <v>39939</v>
      </c>
      <c r="N112" s="973">
        <v>40123</v>
      </c>
      <c r="O112" s="974">
        <f ca="1">+O125</f>
        <v>43895</v>
      </c>
      <c r="P112" s="970" t="str">
        <f t="shared" ca="1" si="0"/>
        <v>VENCIDO</v>
      </c>
    </row>
    <row r="113" spans="2:16">
      <c r="B113" s="961">
        <v>201</v>
      </c>
      <c r="C113" s="968">
        <v>13</v>
      </c>
      <c r="D113" s="969" t="s">
        <v>58</v>
      </c>
      <c r="E113" s="962" t="s">
        <v>506</v>
      </c>
      <c r="F113" s="969" t="s">
        <v>507</v>
      </c>
      <c r="G113" s="969" t="s">
        <v>2156</v>
      </c>
      <c r="H113" s="965"/>
      <c r="I113" s="965"/>
      <c r="J113" s="965"/>
      <c r="K113" s="966" t="s">
        <v>860</v>
      </c>
      <c r="L113" s="970"/>
      <c r="M113" s="973">
        <v>39940</v>
      </c>
      <c r="N113" s="973">
        <v>40124</v>
      </c>
      <c r="O113" s="974">
        <f ca="1">+O112</f>
        <v>43895</v>
      </c>
      <c r="P113" s="970" t="str">
        <f t="shared" ca="1" si="0"/>
        <v>VENCIDO</v>
      </c>
    </row>
    <row r="114" spans="2:16">
      <c r="B114" s="961">
        <v>207</v>
      </c>
      <c r="C114" s="968">
        <v>14</v>
      </c>
      <c r="D114" s="969" t="s">
        <v>1270</v>
      </c>
      <c r="E114" s="962" t="s">
        <v>506</v>
      </c>
      <c r="F114" s="969" t="s">
        <v>507</v>
      </c>
      <c r="G114" s="969" t="s">
        <v>2156</v>
      </c>
      <c r="H114" s="965"/>
      <c r="I114" s="965"/>
      <c r="J114" s="965"/>
      <c r="K114" s="966" t="s">
        <v>2231</v>
      </c>
      <c r="L114" s="970"/>
      <c r="M114" s="973">
        <v>39940</v>
      </c>
      <c r="N114" s="973">
        <v>40124</v>
      </c>
      <c r="O114" s="974">
        <f ca="1">+O113</f>
        <v>43895</v>
      </c>
      <c r="P114" s="970" t="str">
        <f t="shared" ca="1" si="0"/>
        <v>VENCIDO</v>
      </c>
    </row>
    <row r="115" spans="2:16">
      <c r="B115" s="961">
        <v>220</v>
      </c>
      <c r="C115" s="968">
        <v>15</v>
      </c>
      <c r="D115" s="969" t="s">
        <v>4362</v>
      </c>
      <c r="E115" s="962" t="s">
        <v>506</v>
      </c>
      <c r="F115" s="969" t="s">
        <v>507</v>
      </c>
      <c r="G115" s="969" t="s">
        <v>2156</v>
      </c>
      <c r="H115" s="965"/>
      <c r="I115" s="965"/>
      <c r="J115" s="965"/>
      <c r="K115" s="966" t="s">
        <v>3263</v>
      </c>
      <c r="L115" s="970"/>
      <c r="M115" s="973">
        <v>39944</v>
      </c>
      <c r="N115" s="973">
        <v>40128</v>
      </c>
      <c r="O115" s="974">
        <f ca="1">+O114</f>
        <v>43895</v>
      </c>
      <c r="P115" s="970" t="str">
        <f t="shared" ca="1" si="0"/>
        <v>VENCIDO</v>
      </c>
    </row>
    <row r="116" spans="2:16">
      <c r="B116" s="961">
        <v>200</v>
      </c>
      <c r="C116" s="968">
        <v>16</v>
      </c>
      <c r="D116" s="969" t="s">
        <v>1269</v>
      </c>
      <c r="E116" s="962" t="s">
        <v>506</v>
      </c>
      <c r="F116" s="969" t="s">
        <v>507</v>
      </c>
      <c r="G116" s="969" t="s">
        <v>2156</v>
      </c>
      <c r="H116" s="965"/>
      <c r="I116" s="965"/>
      <c r="J116" s="965"/>
      <c r="K116" s="966" t="s">
        <v>2929</v>
      </c>
      <c r="L116" s="970"/>
      <c r="M116" s="973">
        <v>39947</v>
      </c>
      <c r="N116" s="973">
        <v>40131</v>
      </c>
      <c r="O116" s="974">
        <f ca="1">+O126</f>
        <v>43895</v>
      </c>
      <c r="P116" s="970" t="str">
        <f t="shared" ca="1" si="0"/>
        <v>VENCIDO</v>
      </c>
    </row>
    <row r="117" spans="2:16">
      <c r="B117" s="961">
        <v>235</v>
      </c>
      <c r="C117" s="968">
        <v>17</v>
      </c>
      <c r="D117" s="969" t="s">
        <v>281</v>
      </c>
      <c r="E117" s="962" t="s">
        <v>506</v>
      </c>
      <c r="F117" s="969" t="s">
        <v>507</v>
      </c>
      <c r="G117" s="969" t="s">
        <v>2156</v>
      </c>
      <c r="H117" s="965"/>
      <c r="I117" s="965"/>
      <c r="J117" s="965"/>
      <c r="K117" s="966" t="s">
        <v>3144</v>
      </c>
      <c r="L117" s="970"/>
      <c r="M117" s="973">
        <v>39947</v>
      </c>
      <c r="N117" s="973">
        <v>40131</v>
      </c>
      <c r="O117" s="974">
        <f ca="1">+O116</f>
        <v>43895</v>
      </c>
      <c r="P117" s="970" t="str">
        <f t="shared" ca="1" si="0"/>
        <v>VENCIDO</v>
      </c>
    </row>
    <row r="118" spans="2:16">
      <c r="B118" s="961">
        <v>324</v>
      </c>
      <c r="C118" s="968">
        <v>18</v>
      </c>
      <c r="D118" s="969" t="s">
        <v>2765</v>
      </c>
      <c r="E118" s="962" t="s">
        <v>506</v>
      </c>
      <c r="F118" s="969" t="s">
        <v>507</v>
      </c>
      <c r="G118" s="969" t="s">
        <v>2156</v>
      </c>
      <c r="H118" s="965"/>
      <c r="I118" s="965"/>
      <c r="J118" s="965"/>
      <c r="K118" s="966" t="s">
        <v>721</v>
      </c>
      <c r="L118" s="970"/>
      <c r="M118" s="973">
        <v>39951</v>
      </c>
      <c r="N118" s="973">
        <v>40135</v>
      </c>
      <c r="O118" s="974">
        <f ca="1">+O117</f>
        <v>43895</v>
      </c>
      <c r="P118" s="970" t="str">
        <f t="shared" ca="1" si="0"/>
        <v>VENCIDO</v>
      </c>
    </row>
    <row r="119" spans="2:16">
      <c r="B119" s="961">
        <v>343</v>
      </c>
      <c r="C119" s="968">
        <v>19</v>
      </c>
      <c r="D119" s="969" t="s">
        <v>764</v>
      </c>
      <c r="E119" s="962" t="s">
        <v>506</v>
      </c>
      <c r="F119" s="969" t="s">
        <v>507</v>
      </c>
      <c r="G119" s="969" t="s">
        <v>2156</v>
      </c>
      <c r="H119" s="965"/>
      <c r="I119" s="965"/>
      <c r="J119" s="965"/>
      <c r="K119" s="966" t="s">
        <v>3302</v>
      </c>
      <c r="L119" s="970"/>
      <c r="M119" s="973">
        <v>39854</v>
      </c>
      <c r="N119" s="973">
        <v>40219</v>
      </c>
      <c r="O119" s="974">
        <f ca="1">+O136</f>
        <v>43895</v>
      </c>
      <c r="P119" s="970" t="str">
        <f t="shared" ca="1" si="0"/>
        <v>VENCIDO</v>
      </c>
    </row>
    <row r="120" spans="2:16">
      <c r="B120" s="961">
        <v>339</v>
      </c>
      <c r="C120" s="968">
        <v>20</v>
      </c>
      <c r="D120" s="969" t="s">
        <v>1583</v>
      </c>
      <c r="E120" s="962" t="s">
        <v>506</v>
      </c>
      <c r="F120" s="969" t="s">
        <v>507</v>
      </c>
      <c r="G120" s="969" t="s">
        <v>2156</v>
      </c>
      <c r="H120" s="965"/>
      <c r="I120" s="965"/>
      <c r="J120" s="965"/>
      <c r="K120" s="966" t="s">
        <v>3303</v>
      </c>
      <c r="L120" s="970"/>
      <c r="M120" s="973">
        <v>39846</v>
      </c>
      <c r="N120" s="973">
        <v>40211</v>
      </c>
      <c r="O120" s="974">
        <f ca="1">+O138</f>
        <v>43895</v>
      </c>
      <c r="P120" s="970" t="str">
        <f t="shared" ca="1" si="0"/>
        <v>VENCIDO</v>
      </c>
    </row>
    <row r="123" spans="2:16">
      <c r="B123" s="427" t="s">
        <v>985</v>
      </c>
    </row>
    <row r="124" spans="2:16">
      <c r="B124" s="961">
        <v>124</v>
      </c>
      <c r="C124" s="968">
        <v>9</v>
      </c>
      <c r="D124" s="969" t="s">
        <v>814</v>
      </c>
      <c r="E124" s="962" t="s">
        <v>506</v>
      </c>
      <c r="F124" s="969" t="s">
        <v>507</v>
      </c>
      <c r="G124" s="969" t="s">
        <v>206</v>
      </c>
      <c r="H124" s="965"/>
      <c r="I124" s="965"/>
      <c r="J124" s="965"/>
      <c r="K124" s="966" t="s">
        <v>986</v>
      </c>
      <c r="L124" s="970"/>
      <c r="M124" s="973">
        <v>39951</v>
      </c>
      <c r="N124" s="973">
        <v>40135</v>
      </c>
      <c r="O124" s="974">
        <f ca="1">+O108</f>
        <v>43895</v>
      </c>
      <c r="P124" s="970" t="str">
        <f ca="1">IF(O124&gt;N124,"VENCIDO","VIGENTE")</f>
        <v>VENCIDO</v>
      </c>
    </row>
    <row r="125" spans="2:16">
      <c r="B125" s="961">
        <v>227</v>
      </c>
      <c r="C125" s="968">
        <v>13</v>
      </c>
      <c r="D125" s="969" t="s">
        <v>282</v>
      </c>
      <c r="E125" s="962" t="s">
        <v>506</v>
      </c>
      <c r="F125" s="969" t="s">
        <v>507</v>
      </c>
      <c r="G125" s="969" t="s">
        <v>2156</v>
      </c>
      <c r="H125" s="965"/>
      <c r="I125" s="965"/>
      <c r="J125" s="965"/>
      <c r="K125" s="966" t="s">
        <v>2141</v>
      </c>
      <c r="L125" s="970"/>
      <c r="M125" s="973">
        <v>39939</v>
      </c>
      <c r="N125" s="973">
        <v>40123</v>
      </c>
      <c r="O125" s="974">
        <f ca="1">+O111</f>
        <v>43895</v>
      </c>
      <c r="P125" s="970" t="str">
        <f ca="1">IF(O125&gt;N125,"VENCIDO","VIGENTE")</f>
        <v>VENCIDO</v>
      </c>
    </row>
    <row r="126" spans="2:16">
      <c r="B126" s="961">
        <v>224</v>
      </c>
      <c r="C126" s="968">
        <v>18</v>
      </c>
      <c r="D126" s="969" t="s">
        <v>4255</v>
      </c>
      <c r="E126" s="962" t="s">
        <v>506</v>
      </c>
      <c r="F126" s="969" t="s">
        <v>507</v>
      </c>
      <c r="G126" s="969" t="s">
        <v>2156</v>
      </c>
      <c r="H126" s="965"/>
      <c r="I126" s="965"/>
      <c r="J126" s="965"/>
      <c r="K126" s="966" t="s">
        <v>987</v>
      </c>
      <c r="L126" s="970"/>
      <c r="M126" s="973">
        <v>39945</v>
      </c>
      <c r="N126" s="973">
        <v>40129</v>
      </c>
      <c r="O126" s="974">
        <f ca="1">+O115</f>
        <v>43895</v>
      </c>
      <c r="P126" s="970" t="str">
        <f ca="1">IF(O126&gt;N126,"VENCIDO","VIGENTE")</f>
        <v>VENCIDO</v>
      </c>
    </row>
    <row r="128" spans="2:16">
      <c r="B128" s="427" t="s">
        <v>4937</v>
      </c>
    </row>
    <row r="129" spans="2:16">
      <c r="B129" s="961">
        <v>156</v>
      </c>
      <c r="C129" s="983">
        <v>2</v>
      </c>
      <c r="D129" s="969" t="s">
        <v>130</v>
      </c>
      <c r="E129" s="962" t="s">
        <v>506</v>
      </c>
      <c r="F129" s="969" t="s">
        <v>507</v>
      </c>
      <c r="G129" s="969" t="s">
        <v>206</v>
      </c>
      <c r="H129" s="965"/>
      <c r="I129" s="965"/>
      <c r="J129" s="965"/>
      <c r="K129" s="966" t="s">
        <v>79</v>
      </c>
      <c r="L129" s="970"/>
      <c r="M129" s="973">
        <v>39940</v>
      </c>
      <c r="N129" s="973">
        <v>40124</v>
      </c>
      <c r="O129" s="974">
        <f ca="1">+O101</f>
        <v>43895</v>
      </c>
      <c r="P129" s="970" t="str">
        <f t="shared" ref="P129:P139" ca="1" si="2">IF(O129&gt;N129,"VENCIDO","VIGENTE")</f>
        <v>VENCIDO</v>
      </c>
    </row>
    <row r="130" spans="2:16">
      <c r="B130" s="961">
        <v>151</v>
      </c>
      <c r="C130" s="983">
        <v>13</v>
      </c>
      <c r="D130" s="969" t="s">
        <v>815</v>
      </c>
      <c r="E130" s="962" t="s">
        <v>506</v>
      </c>
      <c r="F130" s="969" t="s">
        <v>507</v>
      </c>
      <c r="G130" s="969" t="s">
        <v>206</v>
      </c>
      <c r="H130" s="965"/>
      <c r="I130" s="965"/>
      <c r="J130" s="965"/>
      <c r="K130" s="966" t="s">
        <v>4938</v>
      </c>
      <c r="L130" s="970"/>
      <c r="M130" s="973">
        <v>39973</v>
      </c>
      <c r="N130" s="973">
        <v>40156</v>
      </c>
      <c r="O130" s="974">
        <f ca="1">+O110</f>
        <v>43895</v>
      </c>
      <c r="P130" s="970" t="str">
        <f t="shared" ca="1" si="2"/>
        <v>VENCIDO</v>
      </c>
    </row>
    <row r="131" spans="2:16">
      <c r="B131" s="961">
        <v>123</v>
      </c>
      <c r="C131" s="983">
        <v>14</v>
      </c>
      <c r="D131" s="969" t="s">
        <v>813</v>
      </c>
      <c r="E131" s="962" t="s">
        <v>506</v>
      </c>
      <c r="F131" s="969" t="s">
        <v>507</v>
      </c>
      <c r="G131" s="969" t="s">
        <v>206</v>
      </c>
      <c r="H131" s="965"/>
      <c r="I131" s="965"/>
      <c r="J131" s="965"/>
      <c r="K131" s="966" t="s">
        <v>4939</v>
      </c>
      <c r="L131" s="970"/>
      <c r="M131" s="973">
        <v>39854</v>
      </c>
      <c r="N131" s="973">
        <v>40035</v>
      </c>
      <c r="O131" s="974">
        <f ca="1">+O130</f>
        <v>43895</v>
      </c>
      <c r="P131" s="757" t="str">
        <f t="shared" ca="1" si="2"/>
        <v>VENCIDO</v>
      </c>
    </row>
    <row r="132" spans="2:16">
      <c r="B132" s="961">
        <v>111</v>
      </c>
      <c r="C132" s="983">
        <v>15</v>
      </c>
      <c r="D132" s="969" t="s">
        <v>4926</v>
      </c>
      <c r="E132" s="962" t="s">
        <v>506</v>
      </c>
      <c r="F132" s="969" t="s">
        <v>507</v>
      </c>
      <c r="G132" s="969" t="s">
        <v>206</v>
      </c>
      <c r="H132" s="965"/>
      <c r="I132" s="965"/>
      <c r="J132" s="965"/>
      <c r="K132" s="966" t="s">
        <v>4940</v>
      </c>
      <c r="L132" s="970"/>
      <c r="M132" s="973">
        <v>39846</v>
      </c>
      <c r="N132" s="973">
        <v>40027</v>
      </c>
      <c r="O132" s="974">
        <f ca="1">+O131</f>
        <v>43895</v>
      </c>
      <c r="P132" s="757" t="str">
        <f t="shared" ca="1" si="2"/>
        <v>VENCIDO</v>
      </c>
    </row>
    <row r="133" spans="2:16" ht="21" thickBot="1">
      <c r="B133" s="975">
        <v>114</v>
      </c>
      <c r="C133" s="984">
        <v>16</v>
      </c>
      <c r="D133" s="977" t="s">
        <v>1257</v>
      </c>
      <c r="E133" s="978" t="s">
        <v>506</v>
      </c>
      <c r="F133" s="977" t="s">
        <v>507</v>
      </c>
      <c r="G133" s="977" t="s">
        <v>206</v>
      </c>
      <c r="H133" s="965"/>
      <c r="I133" s="965"/>
      <c r="J133" s="965"/>
      <c r="K133" s="966" t="s">
        <v>1499</v>
      </c>
      <c r="L133" s="970"/>
      <c r="M133" s="973">
        <v>39846</v>
      </c>
      <c r="N133" s="973">
        <v>40027</v>
      </c>
      <c r="O133" s="974">
        <f ca="1">+O132</f>
        <v>43895</v>
      </c>
      <c r="P133" s="757" t="str">
        <f t="shared" ca="1" si="2"/>
        <v>VENCIDO</v>
      </c>
    </row>
    <row r="134" spans="2:16" ht="21" thickTop="1">
      <c r="B134" s="961">
        <v>209</v>
      </c>
      <c r="C134" s="983">
        <v>27</v>
      </c>
      <c r="D134" s="969" t="s">
        <v>4323</v>
      </c>
      <c r="E134" s="962" t="s">
        <v>506</v>
      </c>
      <c r="F134" s="969" t="s">
        <v>507</v>
      </c>
      <c r="G134" s="969" t="s">
        <v>2156</v>
      </c>
      <c r="H134" s="965"/>
      <c r="I134" s="965"/>
      <c r="J134" s="965"/>
      <c r="K134" s="966" t="s">
        <v>3172</v>
      </c>
      <c r="L134" s="970"/>
      <c r="M134" s="973">
        <v>39864</v>
      </c>
      <c r="N134" s="973">
        <v>40229</v>
      </c>
      <c r="O134" s="974">
        <f ca="1">+O118</f>
        <v>43895</v>
      </c>
      <c r="P134" s="970" t="str">
        <f t="shared" ca="1" si="2"/>
        <v>VENCIDO</v>
      </c>
    </row>
    <row r="135" spans="2:16">
      <c r="B135" s="961">
        <v>216</v>
      </c>
      <c r="C135" s="983">
        <v>28</v>
      </c>
      <c r="D135" s="969" t="s">
        <v>4204</v>
      </c>
      <c r="E135" s="962" t="s">
        <v>506</v>
      </c>
      <c r="F135" s="969" t="s">
        <v>507</v>
      </c>
      <c r="G135" s="969" t="s">
        <v>2156</v>
      </c>
      <c r="H135" s="965"/>
      <c r="I135" s="965"/>
      <c r="J135" s="965"/>
      <c r="K135" s="966" t="s">
        <v>4412</v>
      </c>
      <c r="L135" s="970"/>
      <c r="M135" s="973">
        <v>39863</v>
      </c>
      <c r="N135" s="973">
        <v>40228</v>
      </c>
      <c r="O135" s="974">
        <f ca="1">+O134</f>
        <v>43895</v>
      </c>
      <c r="P135" s="970" t="str">
        <f t="shared" ca="1" si="2"/>
        <v>VENCIDO</v>
      </c>
    </row>
    <row r="136" spans="2:16">
      <c r="B136" s="961">
        <v>228</v>
      </c>
      <c r="C136" s="983">
        <v>29</v>
      </c>
      <c r="D136" s="969" t="s">
        <v>4363</v>
      </c>
      <c r="E136" s="962" t="s">
        <v>506</v>
      </c>
      <c r="F136" s="969" t="s">
        <v>507</v>
      </c>
      <c r="G136" s="969" t="s">
        <v>2156</v>
      </c>
      <c r="H136" s="965"/>
      <c r="I136" s="965"/>
      <c r="J136" s="965"/>
      <c r="K136" s="966" t="s">
        <v>4413</v>
      </c>
      <c r="L136" s="970"/>
      <c r="M136" s="973">
        <v>39863</v>
      </c>
      <c r="N136" s="973">
        <v>40228</v>
      </c>
      <c r="O136" s="974">
        <f ca="1">+O135</f>
        <v>43895</v>
      </c>
      <c r="P136" s="970" t="str">
        <f t="shared" ca="1" si="2"/>
        <v>VENCIDO</v>
      </c>
    </row>
    <row r="137" spans="2:16">
      <c r="B137" s="961">
        <v>315</v>
      </c>
      <c r="C137" s="983">
        <v>31</v>
      </c>
      <c r="D137" s="969" t="s">
        <v>2719</v>
      </c>
      <c r="E137" s="962" t="s">
        <v>506</v>
      </c>
      <c r="F137" s="969" t="s">
        <v>507</v>
      </c>
      <c r="G137" s="969" t="s">
        <v>2156</v>
      </c>
      <c r="H137" s="965"/>
      <c r="I137" s="965"/>
      <c r="J137" s="965"/>
      <c r="K137" s="966" t="s">
        <v>4414</v>
      </c>
      <c r="L137" s="970"/>
      <c r="M137" s="973">
        <v>39848</v>
      </c>
      <c r="N137" s="973">
        <v>40213</v>
      </c>
      <c r="O137" s="974">
        <f ca="1">+O119</f>
        <v>43895</v>
      </c>
      <c r="P137" s="970" t="str">
        <f t="shared" ca="1" si="2"/>
        <v>VENCIDO</v>
      </c>
    </row>
    <row r="138" spans="2:16">
      <c r="B138" s="961">
        <v>308</v>
      </c>
      <c r="C138" s="983">
        <v>32</v>
      </c>
      <c r="D138" s="969" t="s">
        <v>3532</v>
      </c>
      <c r="E138" s="962" t="s">
        <v>506</v>
      </c>
      <c r="F138" s="969" t="s">
        <v>507</v>
      </c>
      <c r="G138" s="969" t="s">
        <v>2156</v>
      </c>
      <c r="H138" s="965"/>
      <c r="I138" s="965"/>
      <c r="J138" s="965"/>
      <c r="K138" s="966" t="s">
        <v>4415</v>
      </c>
      <c r="L138" s="970"/>
      <c r="M138" s="973">
        <v>39846</v>
      </c>
      <c r="N138" s="973">
        <v>40211</v>
      </c>
      <c r="O138" s="974">
        <f ca="1">+O137</f>
        <v>43895</v>
      </c>
      <c r="P138" s="970" t="str">
        <f t="shared" ca="1" si="2"/>
        <v>VENCIDO</v>
      </c>
    </row>
    <row r="139" spans="2:16">
      <c r="B139" s="961">
        <v>302</v>
      </c>
      <c r="C139" s="983">
        <v>34</v>
      </c>
      <c r="D139" s="969" t="s">
        <v>1684</v>
      </c>
      <c r="E139" s="962" t="s">
        <v>506</v>
      </c>
      <c r="F139" s="969" t="s">
        <v>507</v>
      </c>
      <c r="G139" s="969" t="s">
        <v>2156</v>
      </c>
      <c r="H139" s="965"/>
      <c r="I139" s="965"/>
      <c r="J139" s="965"/>
      <c r="K139" s="966" t="s">
        <v>4416</v>
      </c>
      <c r="L139" s="970"/>
      <c r="M139" s="973">
        <v>39784</v>
      </c>
      <c r="N139" s="973">
        <v>40149</v>
      </c>
      <c r="O139" s="974">
        <f ca="1">+O120</f>
        <v>43895</v>
      </c>
      <c r="P139" s="970" t="str">
        <f t="shared" ca="1" si="2"/>
        <v>VENCIDO</v>
      </c>
    </row>
    <row r="143" spans="2:16">
      <c r="B143" s="427" t="s">
        <v>3940</v>
      </c>
      <c r="C143" s="955"/>
      <c r="G143" s="989">
        <v>40014</v>
      </c>
    </row>
    <row r="144" spans="2:16" ht="16.5">
      <c r="B144" s="961" t="s">
        <v>1575</v>
      </c>
      <c r="C144" s="961" t="s">
        <v>1098</v>
      </c>
      <c r="D144" s="962" t="s">
        <v>2613</v>
      </c>
      <c r="E144" s="963" t="s">
        <v>136</v>
      </c>
      <c r="F144" s="964" t="s">
        <v>371</v>
      </c>
      <c r="G144" s="964" t="s">
        <v>5004</v>
      </c>
      <c r="H144" s="964" t="s">
        <v>762</v>
      </c>
    </row>
    <row r="145" spans="2:8">
      <c r="B145" s="961">
        <v>101</v>
      </c>
      <c r="C145" s="968">
        <v>8</v>
      </c>
      <c r="D145" s="969" t="s">
        <v>2270</v>
      </c>
      <c r="E145" s="962" t="s">
        <v>506</v>
      </c>
      <c r="F145" s="969" t="s">
        <v>507</v>
      </c>
      <c r="G145" s="969" t="s">
        <v>206</v>
      </c>
      <c r="H145" s="995">
        <v>39994</v>
      </c>
    </row>
    <row r="146" spans="2:8">
      <c r="B146" s="990">
        <v>105</v>
      </c>
      <c r="C146" s="968">
        <v>1</v>
      </c>
      <c r="D146" s="969" t="s">
        <v>672</v>
      </c>
      <c r="E146" s="962" t="s">
        <v>506</v>
      </c>
      <c r="F146" s="969" t="s">
        <v>507</v>
      </c>
      <c r="G146" s="969" t="s">
        <v>206</v>
      </c>
      <c r="H146" s="995">
        <v>40014</v>
      </c>
    </row>
    <row r="147" spans="2:8">
      <c r="B147" s="961">
        <v>111</v>
      </c>
      <c r="C147" s="968">
        <v>3</v>
      </c>
      <c r="D147" s="969" t="s">
        <v>4926</v>
      </c>
      <c r="E147" s="962" t="s">
        <v>506</v>
      </c>
      <c r="F147" s="969" t="s">
        <v>507</v>
      </c>
      <c r="G147" s="969" t="s">
        <v>206</v>
      </c>
      <c r="H147" s="995">
        <v>40014</v>
      </c>
    </row>
    <row r="148" spans="2:8">
      <c r="B148" s="961">
        <v>114</v>
      </c>
      <c r="C148" s="968">
        <v>2</v>
      </c>
      <c r="D148" s="969" t="s">
        <v>1257</v>
      </c>
      <c r="E148" s="962" t="s">
        <v>506</v>
      </c>
      <c r="F148" s="969" t="s">
        <v>507</v>
      </c>
      <c r="G148" s="969" t="s">
        <v>206</v>
      </c>
      <c r="H148" s="995">
        <v>40014</v>
      </c>
    </row>
    <row r="149" spans="2:8">
      <c r="B149" s="990">
        <v>122</v>
      </c>
      <c r="C149" s="968">
        <v>4</v>
      </c>
      <c r="D149" s="969" t="s">
        <v>742</v>
      </c>
      <c r="E149" s="962" t="s">
        <v>506</v>
      </c>
      <c r="F149" s="969" t="s">
        <v>507</v>
      </c>
      <c r="G149" s="969" t="s">
        <v>206</v>
      </c>
      <c r="H149" s="995">
        <v>40014</v>
      </c>
    </row>
    <row r="150" spans="2:8">
      <c r="B150" s="961">
        <v>123</v>
      </c>
      <c r="C150" s="968">
        <v>5</v>
      </c>
      <c r="D150" s="969" t="s">
        <v>813</v>
      </c>
      <c r="E150" s="962" t="s">
        <v>506</v>
      </c>
      <c r="F150" s="969" t="s">
        <v>507</v>
      </c>
      <c r="G150" s="969" t="s">
        <v>206</v>
      </c>
      <c r="H150" s="995">
        <v>40014</v>
      </c>
    </row>
    <row r="151" spans="2:8">
      <c r="B151" s="961">
        <v>124</v>
      </c>
      <c r="C151" s="968">
        <v>12</v>
      </c>
      <c r="D151" s="969" t="s">
        <v>814</v>
      </c>
      <c r="E151" s="962" t="s">
        <v>506</v>
      </c>
      <c r="F151" s="969" t="s">
        <v>507</v>
      </c>
      <c r="G151" s="969" t="s">
        <v>206</v>
      </c>
      <c r="H151" s="995">
        <v>40014</v>
      </c>
    </row>
    <row r="152" spans="2:8">
      <c r="B152" s="961">
        <v>151</v>
      </c>
      <c r="C152" s="968">
        <v>10</v>
      </c>
      <c r="D152" s="969" t="s">
        <v>815</v>
      </c>
      <c r="E152" s="962" t="s">
        <v>506</v>
      </c>
      <c r="F152" s="969" t="s">
        <v>507</v>
      </c>
      <c r="G152" s="969" t="s">
        <v>206</v>
      </c>
      <c r="H152" s="995">
        <v>40014</v>
      </c>
    </row>
    <row r="153" spans="2:8">
      <c r="B153" s="961">
        <v>152</v>
      </c>
      <c r="C153" s="968">
        <v>6</v>
      </c>
      <c r="D153" s="969" t="s">
        <v>816</v>
      </c>
      <c r="E153" s="962" t="s">
        <v>506</v>
      </c>
      <c r="F153" s="969" t="s">
        <v>507</v>
      </c>
      <c r="G153" s="969" t="s">
        <v>206</v>
      </c>
      <c r="H153" s="995">
        <v>39994</v>
      </c>
    </row>
    <row r="154" spans="2:8">
      <c r="B154" s="961">
        <v>153</v>
      </c>
      <c r="C154" s="968">
        <v>7</v>
      </c>
      <c r="D154" s="969" t="s">
        <v>2837</v>
      </c>
      <c r="E154" s="962" t="s">
        <v>506</v>
      </c>
      <c r="F154" s="969" t="s">
        <v>507</v>
      </c>
      <c r="G154" s="969" t="s">
        <v>206</v>
      </c>
      <c r="H154" s="995">
        <v>39994</v>
      </c>
    </row>
    <row r="155" spans="2:8">
      <c r="B155" s="961">
        <v>154</v>
      </c>
      <c r="C155" s="968">
        <v>10</v>
      </c>
      <c r="D155" s="969" t="s">
        <v>1555</v>
      </c>
      <c r="E155" s="962" t="s">
        <v>506</v>
      </c>
      <c r="F155" s="969" t="s">
        <v>507</v>
      </c>
      <c r="G155" s="969" t="s">
        <v>206</v>
      </c>
      <c r="H155" s="995">
        <v>39994</v>
      </c>
    </row>
    <row r="156" spans="2:8">
      <c r="B156" s="961">
        <v>156</v>
      </c>
      <c r="C156" s="968">
        <v>9</v>
      </c>
      <c r="D156" s="969" t="s">
        <v>130</v>
      </c>
      <c r="E156" s="962" t="s">
        <v>506</v>
      </c>
      <c r="F156" s="969" t="s">
        <v>507</v>
      </c>
      <c r="G156" s="969" t="s">
        <v>206</v>
      </c>
      <c r="H156" s="995">
        <v>40014</v>
      </c>
    </row>
    <row r="157" spans="2:8">
      <c r="B157" s="961">
        <v>157</v>
      </c>
      <c r="C157" s="968">
        <v>1</v>
      </c>
      <c r="D157" s="969" t="s">
        <v>131</v>
      </c>
      <c r="E157" s="962" t="s">
        <v>506</v>
      </c>
      <c r="F157" s="969" t="s">
        <v>507</v>
      </c>
      <c r="G157" s="969" t="s">
        <v>206</v>
      </c>
      <c r="H157" s="995">
        <v>39994</v>
      </c>
    </row>
    <row r="158" spans="2:8">
      <c r="B158" s="961">
        <v>158</v>
      </c>
      <c r="C158" s="968">
        <v>9</v>
      </c>
      <c r="D158" s="969" t="s">
        <v>132</v>
      </c>
      <c r="E158" s="962" t="s">
        <v>506</v>
      </c>
      <c r="F158" s="969" t="s">
        <v>507</v>
      </c>
      <c r="G158" s="969" t="s">
        <v>206</v>
      </c>
      <c r="H158" s="995">
        <v>39994</v>
      </c>
    </row>
    <row r="159" spans="2:8">
      <c r="B159" s="990">
        <v>161</v>
      </c>
      <c r="C159" s="968">
        <v>8</v>
      </c>
      <c r="D159" s="969" t="s">
        <v>1117</v>
      </c>
      <c r="E159" s="962" t="s">
        <v>506</v>
      </c>
      <c r="F159" s="969" t="s">
        <v>507</v>
      </c>
      <c r="G159" s="969" t="s">
        <v>206</v>
      </c>
      <c r="H159" s="995">
        <v>40014</v>
      </c>
    </row>
    <row r="160" spans="2:8">
      <c r="B160" s="990">
        <v>162</v>
      </c>
      <c r="C160" s="968">
        <v>11</v>
      </c>
      <c r="D160" s="969" t="s">
        <v>4654</v>
      </c>
      <c r="E160" s="962" t="s">
        <v>506</v>
      </c>
      <c r="F160" s="969" t="s">
        <v>507</v>
      </c>
      <c r="G160" s="969" t="s">
        <v>206</v>
      </c>
      <c r="H160" s="995">
        <v>40014</v>
      </c>
    </row>
    <row r="161" spans="2:8">
      <c r="B161" s="961">
        <v>164</v>
      </c>
      <c r="C161" s="968">
        <v>5</v>
      </c>
      <c r="D161" s="969" t="s">
        <v>4656</v>
      </c>
      <c r="E161" s="962" t="s">
        <v>506</v>
      </c>
      <c r="F161" s="969" t="s">
        <v>507</v>
      </c>
      <c r="G161" s="969" t="s">
        <v>206</v>
      </c>
      <c r="H161" s="995">
        <v>39994</v>
      </c>
    </row>
    <row r="162" spans="2:8">
      <c r="B162" s="961">
        <v>165</v>
      </c>
      <c r="C162" s="968">
        <v>4</v>
      </c>
      <c r="D162" s="969" t="s">
        <v>4657</v>
      </c>
      <c r="E162" s="962" t="s">
        <v>506</v>
      </c>
      <c r="F162" s="969" t="s">
        <v>507</v>
      </c>
      <c r="G162" s="969" t="s">
        <v>206</v>
      </c>
      <c r="H162" s="995">
        <v>39994</v>
      </c>
    </row>
    <row r="163" spans="2:8">
      <c r="B163" s="961">
        <v>166</v>
      </c>
      <c r="C163" s="968">
        <v>2</v>
      </c>
      <c r="D163" s="969" t="s">
        <v>900</v>
      </c>
      <c r="E163" s="962" t="s">
        <v>506</v>
      </c>
      <c r="F163" s="969" t="s">
        <v>507</v>
      </c>
      <c r="G163" s="969" t="s">
        <v>206</v>
      </c>
      <c r="H163" s="995">
        <v>39994</v>
      </c>
    </row>
    <row r="164" spans="2:8">
      <c r="B164" s="961">
        <v>167</v>
      </c>
      <c r="C164" s="968">
        <v>3</v>
      </c>
      <c r="D164" s="969" t="s">
        <v>901</v>
      </c>
      <c r="E164" s="962" t="s">
        <v>506</v>
      </c>
      <c r="F164" s="969" t="s">
        <v>507</v>
      </c>
      <c r="G164" s="969" t="s">
        <v>206</v>
      </c>
      <c r="H164" s="995">
        <v>39994</v>
      </c>
    </row>
    <row r="165" spans="2:8">
      <c r="B165" s="990">
        <v>169</v>
      </c>
      <c r="C165" s="968">
        <v>6</v>
      </c>
      <c r="D165" s="969" t="s">
        <v>903</v>
      </c>
      <c r="E165" s="962" t="s">
        <v>506</v>
      </c>
      <c r="F165" s="969" t="s">
        <v>507</v>
      </c>
      <c r="G165" s="969" t="s">
        <v>206</v>
      </c>
      <c r="H165" s="995">
        <v>40014</v>
      </c>
    </row>
    <row r="166" spans="2:8">
      <c r="B166" s="990">
        <v>170</v>
      </c>
      <c r="C166" s="968">
        <v>7</v>
      </c>
      <c r="D166" s="969" t="s">
        <v>904</v>
      </c>
      <c r="E166" s="962" t="s">
        <v>506</v>
      </c>
      <c r="F166" s="969" t="s">
        <v>507</v>
      </c>
      <c r="G166" s="969" t="s">
        <v>206</v>
      </c>
      <c r="H166" s="995">
        <v>40014</v>
      </c>
    </row>
    <row r="167" spans="2:8">
      <c r="B167" s="961">
        <v>200</v>
      </c>
      <c r="C167" s="968">
        <v>16</v>
      </c>
      <c r="D167" s="969" t="s">
        <v>1269</v>
      </c>
      <c r="E167" s="962" t="s">
        <v>506</v>
      </c>
      <c r="F167" s="969" t="s">
        <v>507</v>
      </c>
      <c r="G167" s="969" t="s">
        <v>2156</v>
      </c>
      <c r="H167" s="995">
        <v>39994</v>
      </c>
    </row>
    <row r="168" spans="2:8">
      <c r="B168" s="990">
        <v>201</v>
      </c>
      <c r="C168" s="968">
        <v>14</v>
      </c>
      <c r="D168" s="969" t="s">
        <v>2101</v>
      </c>
      <c r="E168" s="962" t="s">
        <v>506</v>
      </c>
      <c r="F168" s="969" t="s">
        <v>507</v>
      </c>
      <c r="G168" s="969" t="s">
        <v>2156</v>
      </c>
      <c r="H168" s="995">
        <v>40014</v>
      </c>
    </row>
    <row r="169" spans="2:8">
      <c r="B169" s="961">
        <v>201</v>
      </c>
      <c r="C169" s="968">
        <v>13</v>
      </c>
      <c r="D169" s="969" t="s">
        <v>58</v>
      </c>
      <c r="E169" s="962" t="s">
        <v>506</v>
      </c>
      <c r="F169" s="969" t="s">
        <v>507</v>
      </c>
      <c r="G169" s="969" t="s">
        <v>2156</v>
      </c>
      <c r="H169" s="995">
        <v>39994</v>
      </c>
    </row>
    <row r="170" spans="2:8">
      <c r="B170" s="990">
        <v>202</v>
      </c>
      <c r="C170" s="968">
        <v>13</v>
      </c>
      <c r="D170" s="969" t="s">
        <v>861</v>
      </c>
      <c r="E170" s="962" t="s">
        <v>506</v>
      </c>
      <c r="F170" s="969" t="s">
        <v>507</v>
      </c>
      <c r="G170" s="969" t="s">
        <v>2156</v>
      </c>
      <c r="H170" s="995">
        <v>40014</v>
      </c>
    </row>
    <row r="171" spans="2:8">
      <c r="B171" s="961">
        <v>207</v>
      </c>
      <c r="C171" s="968">
        <v>14</v>
      </c>
      <c r="D171" s="969" t="s">
        <v>1270</v>
      </c>
      <c r="E171" s="962" t="s">
        <v>506</v>
      </c>
      <c r="F171" s="969" t="s">
        <v>507</v>
      </c>
      <c r="G171" s="969" t="s">
        <v>2156</v>
      </c>
      <c r="H171" s="995">
        <v>39994</v>
      </c>
    </row>
    <row r="172" spans="2:8">
      <c r="B172" s="961">
        <v>215</v>
      </c>
      <c r="C172" s="968">
        <v>11</v>
      </c>
      <c r="D172" s="969" t="s">
        <v>4360</v>
      </c>
      <c r="E172" s="962" t="s">
        <v>506</v>
      </c>
      <c r="F172" s="969" t="s">
        <v>507</v>
      </c>
      <c r="G172" s="969" t="s">
        <v>2156</v>
      </c>
      <c r="H172" s="995">
        <v>39994</v>
      </c>
    </row>
    <row r="173" spans="2:8">
      <c r="B173" s="961">
        <v>220</v>
      </c>
      <c r="C173" s="968">
        <v>15</v>
      </c>
      <c r="D173" s="969" t="s">
        <v>4362</v>
      </c>
      <c r="E173" s="962" t="s">
        <v>506</v>
      </c>
      <c r="F173" s="969" t="s">
        <v>507</v>
      </c>
      <c r="G173" s="969" t="s">
        <v>2156</v>
      </c>
      <c r="H173" s="995">
        <v>39994</v>
      </c>
    </row>
    <row r="174" spans="2:8">
      <c r="B174" s="990">
        <v>221</v>
      </c>
      <c r="C174" s="968">
        <v>15</v>
      </c>
      <c r="D174" s="969" t="s">
        <v>1106</v>
      </c>
      <c r="E174" s="962" t="s">
        <v>506</v>
      </c>
      <c r="F174" s="969" t="s">
        <v>507</v>
      </c>
      <c r="G174" s="969" t="s">
        <v>2156</v>
      </c>
      <c r="H174" s="995">
        <v>40014</v>
      </c>
    </row>
    <row r="175" spans="2:8">
      <c r="B175" s="961">
        <v>224</v>
      </c>
      <c r="C175" s="968">
        <v>16</v>
      </c>
      <c r="D175" s="969" t="s">
        <v>4255</v>
      </c>
      <c r="E175" s="962" t="s">
        <v>506</v>
      </c>
      <c r="F175" s="969" t="s">
        <v>507</v>
      </c>
      <c r="G175" s="969" t="s">
        <v>2156</v>
      </c>
      <c r="H175" s="995">
        <v>40014</v>
      </c>
    </row>
    <row r="176" spans="2:8">
      <c r="B176" s="990">
        <v>226</v>
      </c>
      <c r="C176" s="968">
        <v>17</v>
      </c>
      <c r="D176" s="969" t="s">
        <v>1105</v>
      </c>
      <c r="E176" s="962" t="s">
        <v>506</v>
      </c>
      <c r="F176" s="969" t="s">
        <v>507</v>
      </c>
      <c r="G176" s="969" t="s">
        <v>2156</v>
      </c>
      <c r="H176" s="995">
        <v>40014</v>
      </c>
    </row>
    <row r="177" spans="2:8">
      <c r="B177" s="961">
        <v>227</v>
      </c>
      <c r="C177" s="968">
        <v>18</v>
      </c>
      <c r="D177" s="969" t="s">
        <v>282</v>
      </c>
      <c r="E177" s="962" t="s">
        <v>506</v>
      </c>
      <c r="F177" s="969" t="s">
        <v>507</v>
      </c>
      <c r="G177" s="969" t="s">
        <v>2156</v>
      </c>
      <c r="H177" s="995">
        <v>40014</v>
      </c>
    </row>
    <row r="178" spans="2:8">
      <c r="B178" s="961">
        <v>229</v>
      </c>
      <c r="C178" s="968">
        <v>12</v>
      </c>
      <c r="D178" s="969" t="s">
        <v>498</v>
      </c>
      <c r="E178" s="962" t="s">
        <v>506</v>
      </c>
      <c r="F178" s="969" t="s">
        <v>507</v>
      </c>
      <c r="G178" s="969" t="s">
        <v>2156</v>
      </c>
      <c r="H178" s="995">
        <v>39994</v>
      </c>
    </row>
    <row r="179" spans="2:8">
      <c r="B179" s="990">
        <v>230</v>
      </c>
      <c r="C179" s="968">
        <v>19</v>
      </c>
      <c r="D179" s="969" t="s">
        <v>497</v>
      </c>
      <c r="E179" s="962" t="s">
        <v>506</v>
      </c>
      <c r="F179" s="969" t="s">
        <v>507</v>
      </c>
      <c r="G179" s="969" t="s">
        <v>2156</v>
      </c>
      <c r="H179" s="995">
        <v>40014</v>
      </c>
    </row>
    <row r="180" spans="2:8">
      <c r="B180" s="990">
        <v>232</v>
      </c>
      <c r="C180" s="968">
        <v>20</v>
      </c>
      <c r="D180" s="969" t="s">
        <v>280</v>
      </c>
      <c r="E180" s="962" t="s">
        <v>506</v>
      </c>
      <c r="F180" s="969" t="s">
        <v>507</v>
      </c>
      <c r="G180" s="969" t="s">
        <v>2156</v>
      </c>
      <c r="H180" s="995">
        <v>40014</v>
      </c>
    </row>
    <row r="181" spans="2:8">
      <c r="B181" s="961">
        <v>235</v>
      </c>
      <c r="C181" s="968">
        <v>17</v>
      </c>
      <c r="D181" s="969" t="s">
        <v>281</v>
      </c>
      <c r="E181" s="962" t="s">
        <v>506</v>
      </c>
      <c r="F181" s="969" t="s">
        <v>507</v>
      </c>
      <c r="G181" s="969" t="s">
        <v>2156</v>
      </c>
      <c r="H181" s="995">
        <v>39994</v>
      </c>
    </row>
    <row r="182" spans="2:8">
      <c r="B182" s="961">
        <v>324</v>
      </c>
      <c r="C182" s="968">
        <v>18</v>
      </c>
      <c r="D182" s="969" t="s">
        <v>2765</v>
      </c>
      <c r="E182" s="962" t="s">
        <v>506</v>
      </c>
      <c r="F182" s="969" t="s">
        <v>507</v>
      </c>
      <c r="G182" s="969" t="s">
        <v>2156</v>
      </c>
      <c r="H182" s="995">
        <v>39994</v>
      </c>
    </row>
    <row r="183" spans="2:8">
      <c r="B183" s="961">
        <v>339</v>
      </c>
      <c r="C183" s="968">
        <v>20</v>
      </c>
      <c r="D183" s="969" t="s">
        <v>1583</v>
      </c>
      <c r="E183" s="962" t="s">
        <v>506</v>
      </c>
      <c r="F183" s="969" t="s">
        <v>507</v>
      </c>
      <c r="G183" s="969" t="s">
        <v>2156</v>
      </c>
      <c r="H183" s="995">
        <v>39994</v>
      </c>
    </row>
    <row r="184" spans="2:8">
      <c r="B184" s="961">
        <v>343</v>
      </c>
      <c r="C184" s="968">
        <v>19</v>
      </c>
      <c r="D184" s="969" t="s">
        <v>764</v>
      </c>
      <c r="E184" s="962" t="s">
        <v>506</v>
      </c>
      <c r="F184" s="969" t="s">
        <v>507</v>
      </c>
      <c r="G184" s="969" t="s">
        <v>2156</v>
      </c>
      <c r="H184" s="995">
        <v>39994</v>
      </c>
    </row>
  </sheetData>
  <mergeCells count="13">
    <mergeCell ref="M98:N98"/>
    <mergeCell ref="P98:P100"/>
    <mergeCell ref="C47:G47"/>
    <mergeCell ref="M48:N48"/>
    <mergeCell ref="P48:P50"/>
    <mergeCell ref="M74:N74"/>
    <mergeCell ref="P74:P76"/>
    <mergeCell ref="M23:N23"/>
    <mergeCell ref="C2:G2"/>
    <mergeCell ref="M3:N3"/>
    <mergeCell ref="P3:P5"/>
    <mergeCell ref="C22:G22"/>
    <mergeCell ref="P23:P25"/>
  </mergeCells>
  <phoneticPr fontId="0" type="noConversion"/>
  <printOptions horizontalCentered="1"/>
  <pageMargins left="0.75" right="0.75" top="1.0900000000000001" bottom="1" header="0" footer="0"/>
  <pageSetup paperSize="9" scale="91" orientation="landscape" horizontalDpi="120" verticalDpi="72" r:id="rId1"/>
  <headerFooter alignWithMargins="0"/>
  <drawing r:id="rId2"/>
</worksheet>
</file>

<file path=xl/worksheets/sheet19.xml><?xml version="1.0" encoding="utf-8"?>
<worksheet xmlns="http://schemas.openxmlformats.org/spreadsheetml/2006/main" xmlns:r="http://schemas.openxmlformats.org/officeDocument/2006/relationships">
  <sheetPr codeName="Hoja18">
    <pageSetUpPr fitToPage="1"/>
  </sheetPr>
  <dimension ref="B1:Y52"/>
  <sheetViews>
    <sheetView zoomScale="85" workbookViewId="0"/>
  </sheetViews>
  <sheetFormatPr baseColWidth="10" defaultRowHeight="12.75"/>
  <cols>
    <col min="1" max="1" width="4.140625" customWidth="1"/>
    <col min="2" max="2" width="5.140625" customWidth="1"/>
    <col min="3" max="3" width="9" customWidth="1"/>
    <col min="4" max="4" width="10.85546875" customWidth="1"/>
    <col min="7" max="7" width="6.140625" bestFit="1" customWidth="1"/>
    <col min="8" max="8" width="10.140625" customWidth="1"/>
    <col min="9" max="9" width="13.28515625" bestFit="1" customWidth="1"/>
    <col min="10" max="10" width="6.5703125" customWidth="1"/>
    <col min="11" max="11" width="9.28515625" bestFit="1" customWidth="1"/>
    <col min="14" max="14" width="20.7109375" bestFit="1" customWidth="1"/>
    <col min="15" max="15" width="18.5703125" bestFit="1" customWidth="1"/>
    <col min="16" max="16" width="6.140625" bestFit="1" customWidth="1"/>
    <col min="17" max="17" width="7.5703125" bestFit="1" customWidth="1"/>
    <col min="18" max="18" width="8.28515625" bestFit="1" customWidth="1"/>
    <col min="19" max="19" width="18.7109375" bestFit="1" customWidth="1"/>
    <col min="20" max="20" width="5.28515625" bestFit="1" customWidth="1"/>
  </cols>
  <sheetData>
    <row r="1" spans="2:25">
      <c r="L1" s="90"/>
    </row>
    <row r="2" spans="2:25" ht="15.75" thickBot="1">
      <c r="C2" s="505" t="s">
        <v>292</v>
      </c>
      <c r="M2" s="69">
        <v>39647</v>
      </c>
    </row>
    <row r="3" spans="2:25">
      <c r="B3" s="3936" t="s">
        <v>1098</v>
      </c>
      <c r="C3" s="155" t="s">
        <v>1099</v>
      </c>
      <c r="D3" s="155" t="s">
        <v>5003</v>
      </c>
      <c r="E3" s="155" t="s">
        <v>5004</v>
      </c>
      <c r="F3" s="155" t="s">
        <v>2269</v>
      </c>
      <c r="G3" s="155" t="s">
        <v>5005</v>
      </c>
      <c r="H3" s="155" t="s">
        <v>5006</v>
      </c>
      <c r="I3" s="156" t="s">
        <v>5007</v>
      </c>
      <c r="J3" s="182" t="s">
        <v>950</v>
      </c>
      <c r="K3" s="301" t="s">
        <v>2256</v>
      </c>
      <c r="L3" s="89" t="s">
        <v>1755</v>
      </c>
      <c r="M3" s="188" t="s">
        <v>1757</v>
      </c>
    </row>
    <row r="4" spans="2:25" ht="13.5" thickBot="1">
      <c r="B4" s="3940"/>
      <c r="C4" s="512" t="s">
        <v>1835</v>
      </c>
      <c r="D4" s="512" t="s">
        <v>1836</v>
      </c>
      <c r="E4" s="512"/>
      <c r="F4" s="512"/>
      <c r="G4" s="512" t="s">
        <v>3230</v>
      </c>
      <c r="H4" s="512"/>
      <c r="I4" s="513"/>
      <c r="J4" s="514" t="s">
        <v>3231</v>
      </c>
      <c r="K4" s="302" t="s">
        <v>1688</v>
      </c>
      <c r="L4" s="61" t="s">
        <v>1756</v>
      </c>
      <c r="M4" s="189" t="s">
        <v>1758</v>
      </c>
    </row>
    <row r="5" spans="2:25" ht="18">
      <c r="B5" s="506">
        <v>1</v>
      </c>
      <c r="C5" s="507">
        <v>217</v>
      </c>
      <c r="D5" s="508" t="s">
        <v>1097</v>
      </c>
      <c r="E5" s="509" t="s">
        <v>3232</v>
      </c>
      <c r="F5" s="510" t="s">
        <v>1812</v>
      </c>
      <c r="G5" s="510">
        <v>1994</v>
      </c>
      <c r="H5" s="510" t="s">
        <v>2895</v>
      </c>
      <c r="I5" s="509" t="s">
        <v>314</v>
      </c>
      <c r="J5" s="511">
        <v>3</v>
      </c>
      <c r="K5" s="303" t="s">
        <v>1689</v>
      </c>
      <c r="L5" s="191"/>
      <c r="M5" s="190"/>
      <c r="N5" s="300"/>
    </row>
    <row r="6" spans="2:25" ht="18.75" thickBot="1">
      <c r="B6" s="170">
        <v>2</v>
      </c>
      <c r="C6" s="479">
        <v>225</v>
      </c>
      <c r="D6" s="312" t="s">
        <v>1634</v>
      </c>
      <c r="E6" s="171" t="s">
        <v>3232</v>
      </c>
      <c r="F6" s="173" t="s">
        <v>1812</v>
      </c>
      <c r="G6" s="173">
        <v>1996</v>
      </c>
      <c r="H6" s="173" t="s">
        <v>2897</v>
      </c>
      <c r="I6" s="171" t="s">
        <v>314</v>
      </c>
      <c r="J6" s="177">
        <v>3</v>
      </c>
      <c r="K6" s="311" t="s">
        <v>1689</v>
      </c>
      <c r="L6" s="193"/>
      <c r="M6" s="187"/>
      <c r="N6" s="300"/>
    </row>
    <row r="9" spans="2:25" ht="15.75" thickBot="1">
      <c r="C9" s="505" t="s">
        <v>3169</v>
      </c>
      <c r="M9" s="69">
        <v>39601</v>
      </c>
    </row>
    <row r="10" spans="2:25">
      <c r="B10" s="3936" t="s">
        <v>1098</v>
      </c>
      <c r="C10" s="155" t="s">
        <v>1099</v>
      </c>
      <c r="D10" s="155" t="s">
        <v>5003</v>
      </c>
      <c r="E10" s="155" t="s">
        <v>5004</v>
      </c>
      <c r="F10" s="155" t="s">
        <v>2269</v>
      </c>
      <c r="G10" s="155" t="s">
        <v>5005</v>
      </c>
      <c r="H10" s="155" t="s">
        <v>5006</v>
      </c>
      <c r="I10" s="156" t="s">
        <v>5007</v>
      </c>
      <c r="J10" s="182" t="s">
        <v>950</v>
      </c>
      <c r="K10" s="301" t="s">
        <v>2256</v>
      </c>
      <c r="L10" s="89" t="s">
        <v>1755</v>
      </c>
      <c r="M10" s="188" t="s">
        <v>1757</v>
      </c>
    </row>
    <row r="11" spans="2:25" ht="13.5" thickBot="1">
      <c r="B11" s="3937"/>
      <c r="C11" s="163" t="s">
        <v>1835</v>
      </c>
      <c r="D11" s="163" t="s">
        <v>1836</v>
      </c>
      <c r="E11" s="163"/>
      <c r="F11" s="163"/>
      <c r="G11" s="163" t="s">
        <v>3230</v>
      </c>
      <c r="H11" s="163"/>
      <c r="I11" s="164"/>
      <c r="J11" s="183" t="s">
        <v>3231</v>
      </c>
      <c r="K11" s="302" t="s">
        <v>1688</v>
      </c>
      <c r="L11" s="61" t="s">
        <v>1756</v>
      </c>
      <c r="M11" s="189" t="s">
        <v>1758</v>
      </c>
      <c r="N11" s="614"/>
    </row>
    <row r="12" spans="2:25" ht="18">
      <c r="B12" s="165">
        <v>1</v>
      </c>
      <c r="C12" s="195">
        <v>302</v>
      </c>
      <c r="D12" s="299" t="s">
        <v>1684</v>
      </c>
      <c r="E12" s="166" t="s">
        <v>3232</v>
      </c>
      <c r="F12" s="610" t="s">
        <v>1813</v>
      </c>
      <c r="G12" s="168">
        <v>1962</v>
      </c>
      <c r="H12" s="168" t="s">
        <v>4694</v>
      </c>
      <c r="I12" s="166" t="s">
        <v>3794</v>
      </c>
      <c r="J12" s="174">
        <v>3</v>
      </c>
      <c r="K12" s="303" t="s">
        <v>1689</v>
      </c>
      <c r="L12" s="191">
        <v>6990</v>
      </c>
      <c r="M12" s="615">
        <v>39625</v>
      </c>
      <c r="N12" s="617">
        <v>39717</v>
      </c>
    </row>
    <row r="13" spans="2:25" ht="18">
      <c r="B13" s="169">
        <v>2</v>
      </c>
      <c r="C13" s="196">
        <v>308</v>
      </c>
      <c r="D13" s="298" t="s">
        <v>3532</v>
      </c>
      <c r="E13" s="157" t="s">
        <v>3232</v>
      </c>
      <c r="F13" s="611" t="s">
        <v>1813</v>
      </c>
      <c r="G13" s="159">
        <v>1962</v>
      </c>
      <c r="H13" s="159" t="s">
        <v>4694</v>
      </c>
      <c r="I13" s="157" t="s">
        <v>3795</v>
      </c>
      <c r="J13" s="175">
        <v>3</v>
      </c>
      <c r="K13" s="304" t="s">
        <v>1689</v>
      </c>
      <c r="L13" s="192">
        <v>7000</v>
      </c>
      <c r="M13" s="613">
        <v>39625</v>
      </c>
      <c r="N13" s="617">
        <v>39717</v>
      </c>
    </row>
    <row r="14" spans="2:25" ht="18.75" thickBot="1">
      <c r="B14" s="170">
        <v>3</v>
      </c>
      <c r="C14" s="479">
        <v>315</v>
      </c>
      <c r="D14" s="312" t="s">
        <v>2719</v>
      </c>
      <c r="E14" s="171" t="s">
        <v>3232</v>
      </c>
      <c r="F14" s="612" t="s">
        <v>1813</v>
      </c>
      <c r="G14" s="173">
        <v>1963</v>
      </c>
      <c r="H14" s="173" t="s">
        <v>4694</v>
      </c>
      <c r="I14" s="171" t="s">
        <v>3795</v>
      </c>
      <c r="J14" s="177">
        <v>3</v>
      </c>
      <c r="K14" s="311" t="s">
        <v>1689</v>
      </c>
      <c r="L14" s="193">
        <v>6960</v>
      </c>
      <c r="M14" s="616">
        <v>39625</v>
      </c>
      <c r="N14" s="617">
        <v>39717</v>
      </c>
      <c r="O14" t="s">
        <v>4358</v>
      </c>
      <c r="P14" t="s">
        <v>3776</v>
      </c>
      <c r="Q14" t="s">
        <v>4161</v>
      </c>
      <c r="R14" t="s">
        <v>2162</v>
      </c>
      <c r="S14" t="s">
        <v>4800</v>
      </c>
      <c r="T14" t="s">
        <v>1584</v>
      </c>
      <c r="U14" t="s">
        <v>3034</v>
      </c>
      <c r="V14" t="s">
        <v>3035</v>
      </c>
    </row>
    <row r="15" spans="2:25">
      <c r="N15" s="614"/>
    </row>
    <row r="16" spans="2:25">
      <c r="B16" s="13" t="s">
        <v>1350</v>
      </c>
      <c r="O16" t="s">
        <v>1351</v>
      </c>
      <c r="P16" t="s">
        <v>1352</v>
      </c>
      <c r="Q16" t="s">
        <v>3496</v>
      </c>
      <c r="R16" t="s">
        <v>783</v>
      </c>
      <c r="S16" t="s">
        <v>698</v>
      </c>
      <c r="T16">
        <v>28</v>
      </c>
      <c r="U16" t="s">
        <v>2397</v>
      </c>
      <c r="V16" t="s">
        <v>1682</v>
      </c>
      <c r="W16" t="s">
        <v>4454</v>
      </c>
      <c r="X16">
        <v>1200</v>
      </c>
      <c r="Y16">
        <f>+X16/30</f>
        <v>40</v>
      </c>
    </row>
    <row r="17" spans="2:25">
      <c r="C17" s="3938" t="s">
        <v>898</v>
      </c>
      <c r="D17" s="3938"/>
      <c r="E17" s="3938"/>
      <c r="F17" s="3938"/>
      <c r="G17" s="3938"/>
      <c r="H17" s="3938"/>
      <c r="I17" s="3938"/>
      <c r="J17" s="3938"/>
      <c r="K17" s="3938"/>
      <c r="L17" s="3938"/>
      <c r="M17" s="3938"/>
      <c r="O17" t="s">
        <v>3636</v>
      </c>
      <c r="P17" t="s">
        <v>1352</v>
      </c>
      <c r="Q17" t="s">
        <v>3637</v>
      </c>
      <c r="R17" t="s">
        <v>3638</v>
      </c>
      <c r="S17" t="s">
        <v>698</v>
      </c>
      <c r="T17">
        <v>56</v>
      </c>
      <c r="U17" t="s">
        <v>3639</v>
      </c>
      <c r="V17" t="s">
        <v>61</v>
      </c>
      <c r="W17" t="s">
        <v>3675</v>
      </c>
      <c r="X17">
        <v>2500</v>
      </c>
      <c r="Y17" s="146">
        <f>+X17/30</f>
        <v>83.333333333333329</v>
      </c>
    </row>
    <row r="18" spans="2:25">
      <c r="C18" s="3938"/>
      <c r="D18" s="3938"/>
      <c r="E18" s="3938"/>
      <c r="F18" s="3938"/>
      <c r="G18" s="3938"/>
      <c r="H18" s="3938"/>
      <c r="I18" s="3938"/>
      <c r="J18" s="3938"/>
      <c r="K18" s="3938"/>
      <c r="L18" s="3938"/>
      <c r="M18" s="3938"/>
      <c r="O18" t="s">
        <v>4455</v>
      </c>
      <c r="P18" t="s">
        <v>1352</v>
      </c>
      <c r="Q18" t="s">
        <v>3496</v>
      </c>
      <c r="R18" t="s">
        <v>3638</v>
      </c>
      <c r="S18" t="s">
        <v>3490</v>
      </c>
      <c r="T18">
        <v>62</v>
      </c>
      <c r="U18" t="s">
        <v>3491</v>
      </c>
      <c r="V18" t="s">
        <v>2018</v>
      </c>
      <c r="W18" t="s">
        <v>4454</v>
      </c>
      <c r="X18">
        <v>1800</v>
      </c>
      <c r="Y18" s="146">
        <f>+X18/30</f>
        <v>60</v>
      </c>
    </row>
    <row r="19" spans="2:25">
      <c r="C19" s="3938"/>
      <c r="D19" s="3938"/>
      <c r="E19" s="3938"/>
      <c r="F19" s="3938"/>
      <c r="G19" s="3938"/>
      <c r="H19" s="3938"/>
      <c r="I19" s="3938"/>
      <c r="J19" s="3938"/>
      <c r="K19" s="3938"/>
      <c r="L19" s="3938"/>
      <c r="M19" s="3938"/>
    </row>
    <row r="20" spans="2:25">
      <c r="C20" s="583"/>
      <c r="D20" s="583"/>
      <c r="E20" s="583"/>
      <c r="F20" s="583"/>
      <c r="G20" s="583"/>
      <c r="H20" s="583"/>
      <c r="I20" s="583"/>
      <c r="J20" s="583"/>
      <c r="K20" s="583"/>
      <c r="L20" s="583"/>
      <c r="M20" s="583"/>
    </row>
    <row r="21" spans="2:25">
      <c r="C21" s="583"/>
      <c r="D21" s="583"/>
      <c r="E21" s="583"/>
      <c r="F21" s="583"/>
      <c r="G21" s="583"/>
      <c r="H21" s="583"/>
      <c r="I21" s="583"/>
      <c r="J21" s="583"/>
      <c r="K21" s="583"/>
      <c r="L21" s="583"/>
      <c r="M21" s="583"/>
    </row>
    <row r="22" spans="2:25">
      <c r="C22" s="583"/>
      <c r="D22" s="583"/>
      <c r="E22" s="485" t="s">
        <v>3797</v>
      </c>
      <c r="F22" s="485" t="s">
        <v>3507</v>
      </c>
      <c r="G22" s="583"/>
      <c r="H22" s="583" t="s">
        <v>502</v>
      </c>
      <c r="I22" s="605">
        <v>39708</v>
      </c>
      <c r="J22" s="583"/>
      <c r="K22" s="3941">
        <v>39717</v>
      </c>
      <c r="L22" s="3941"/>
      <c r="M22" s="583"/>
    </row>
    <row r="23" spans="2:25">
      <c r="B23" s="7">
        <v>1</v>
      </c>
      <c r="C23" s="606">
        <v>302</v>
      </c>
      <c r="D23" s="606" t="s">
        <v>1684</v>
      </c>
      <c r="E23" s="138">
        <v>15</v>
      </c>
      <c r="F23" s="618">
        <v>64</v>
      </c>
      <c r="G23" s="606"/>
      <c r="H23" s="138">
        <v>150</v>
      </c>
      <c r="I23" s="607">
        <f>+H23+F23+E23</f>
        <v>229</v>
      </c>
      <c r="J23" s="583"/>
      <c r="K23" s="138">
        <v>32</v>
      </c>
      <c r="L23" s="138">
        <f>340-H23</f>
        <v>190</v>
      </c>
      <c r="M23" s="604">
        <f>+L23+H23</f>
        <v>340</v>
      </c>
    </row>
    <row r="24" spans="2:25">
      <c r="B24" s="7">
        <v>2</v>
      </c>
      <c r="C24" s="606">
        <v>308</v>
      </c>
      <c r="D24" s="606" t="s">
        <v>3532</v>
      </c>
      <c r="E24" s="138">
        <v>15</v>
      </c>
      <c r="F24" s="618">
        <v>64</v>
      </c>
      <c r="G24" s="606"/>
      <c r="H24" s="138">
        <v>150</v>
      </c>
      <c r="I24" s="607">
        <f>+H24+F24+E24</f>
        <v>229</v>
      </c>
      <c r="J24" s="583"/>
      <c r="K24" s="138">
        <v>0</v>
      </c>
      <c r="L24" s="138">
        <f>340-H24</f>
        <v>190</v>
      </c>
      <c r="M24" s="604">
        <f>+L24+H24</f>
        <v>340</v>
      </c>
    </row>
    <row r="25" spans="2:25">
      <c r="B25" s="7">
        <v>3</v>
      </c>
      <c r="C25" s="606">
        <v>315</v>
      </c>
      <c r="D25" s="606" t="s">
        <v>2719</v>
      </c>
      <c r="E25" s="138">
        <v>15</v>
      </c>
      <c r="F25" s="138">
        <v>64</v>
      </c>
      <c r="G25" s="606"/>
      <c r="H25" s="138">
        <v>150</v>
      </c>
      <c r="I25" s="607">
        <f>+H25+F25+E25</f>
        <v>229</v>
      </c>
      <c r="J25" s="583"/>
      <c r="K25" s="138">
        <v>0</v>
      </c>
      <c r="L25" s="138">
        <f>340-H25</f>
        <v>190</v>
      </c>
      <c r="M25" s="604">
        <f>+L25+H25</f>
        <v>340</v>
      </c>
    </row>
    <row r="26" spans="2:25">
      <c r="C26" s="583"/>
      <c r="D26" s="583"/>
      <c r="E26" s="485"/>
      <c r="F26" s="485"/>
      <c r="G26" s="583"/>
      <c r="H26" s="583"/>
      <c r="I26" s="583"/>
      <c r="J26" s="583"/>
      <c r="K26" s="583"/>
      <c r="L26" s="583"/>
      <c r="M26" s="583"/>
    </row>
    <row r="27" spans="2:25">
      <c r="C27" s="583"/>
      <c r="D27" s="583"/>
      <c r="E27" s="583"/>
      <c r="F27" s="583"/>
      <c r="G27" s="583"/>
      <c r="H27" s="583"/>
      <c r="I27" s="604">
        <f>SUM(I23:I26)</f>
        <v>687</v>
      </c>
      <c r="J27" s="583"/>
      <c r="K27" s="583"/>
      <c r="L27" s="604">
        <f>SUM(L23:L26)</f>
        <v>570</v>
      </c>
      <c r="M27" s="583"/>
    </row>
    <row r="28" spans="2:25">
      <c r="C28" s="583"/>
      <c r="D28" s="583"/>
      <c r="E28" s="583"/>
      <c r="F28" s="583"/>
      <c r="G28" s="583"/>
      <c r="H28" s="583"/>
      <c r="I28" s="604"/>
      <c r="J28" s="583"/>
      <c r="K28" s="583"/>
      <c r="L28" s="604"/>
      <c r="M28" s="583"/>
    </row>
    <row r="29" spans="2:25">
      <c r="C29" s="583"/>
      <c r="D29" s="583"/>
      <c r="E29" s="485" t="s">
        <v>3797</v>
      </c>
      <c r="F29" s="485" t="s">
        <v>3507</v>
      </c>
      <c r="G29" s="583"/>
      <c r="H29" s="583" t="s">
        <v>502</v>
      </c>
      <c r="I29" s="605">
        <v>39730</v>
      </c>
      <c r="J29" s="583"/>
      <c r="K29" s="3941">
        <v>39751</v>
      </c>
      <c r="L29" s="3941"/>
      <c r="M29" s="583"/>
    </row>
    <row r="30" spans="2:25" ht="15.75">
      <c r="B30" s="7">
        <v>1</v>
      </c>
      <c r="C30" s="606">
        <v>217</v>
      </c>
      <c r="D30" s="606" t="s">
        <v>1097</v>
      </c>
      <c r="E30" s="138">
        <v>15</v>
      </c>
      <c r="F30" s="618">
        <f>64+32</f>
        <v>96</v>
      </c>
      <c r="G30" s="606"/>
      <c r="H30" s="138">
        <v>150</v>
      </c>
      <c r="I30" s="607">
        <f>+H30+F30+E30</f>
        <v>261</v>
      </c>
      <c r="J30" s="583"/>
      <c r="K30" s="138">
        <v>0</v>
      </c>
      <c r="L30" s="618">
        <f>340-H30</f>
        <v>190</v>
      </c>
      <c r="M30" s="633">
        <f>+L30+H30</f>
        <v>340</v>
      </c>
      <c r="N30" s="427" t="s">
        <v>4395</v>
      </c>
    </row>
    <row r="31" spans="2:25">
      <c r="B31" s="7">
        <v>2</v>
      </c>
      <c r="C31" s="606">
        <v>225</v>
      </c>
      <c r="D31" s="606" t="s">
        <v>1634</v>
      </c>
      <c r="E31" s="138">
        <v>15</v>
      </c>
      <c r="F31" s="618">
        <f>64+32</f>
        <v>96</v>
      </c>
      <c r="G31" s="606"/>
      <c r="H31" s="138">
        <v>150</v>
      </c>
      <c r="I31" s="607">
        <f>+H31+F31+E31</f>
        <v>261</v>
      </c>
      <c r="J31" s="583"/>
      <c r="K31" s="138">
        <v>0</v>
      </c>
      <c r="L31" s="138">
        <f>340-H31</f>
        <v>190</v>
      </c>
      <c r="M31" s="604">
        <f>+L31+H31</f>
        <v>340</v>
      </c>
    </row>
    <row r="32" spans="2:25">
      <c r="C32" s="583"/>
      <c r="D32" s="583"/>
      <c r="E32" s="485"/>
      <c r="F32" s="485"/>
      <c r="G32" s="583"/>
      <c r="H32" s="583"/>
      <c r="I32" s="583"/>
      <c r="J32" s="583"/>
      <c r="K32" s="583"/>
      <c r="L32" s="583"/>
      <c r="M32" s="583"/>
    </row>
    <row r="33" spans="2:14">
      <c r="C33" s="583"/>
      <c r="D33" s="583"/>
      <c r="E33" s="583"/>
      <c r="F33" s="583"/>
      <c r="G33" s="583"/>
      <c r="H33" s="583"/>
      <c r="I33" s="604">
        <f>SUM(I30:I32)</f>
        <v>522</v>
      </c>
      <c r="J33" s="583"/>
      <c r="K33" s="583"/>
      <c r="L33" s="604">
        <f>SUM(L30:L32)</f>
        <v>380</v>
      </c>
      <c r="M33" s="583"/>
    </row>
    <row r="34" spans="2:14">
      <c r="C34" s="583"/>
      <c r="D34" s="583"/>
      <c r="E34" s="583"/>
      <c r="F34" s="583"/>
      <c r="G34" s="583"/>
      <c r="H34" s="583"/>
      <c r="I34" s="583"/>
      <c r="J34" s="583"/>
      <c r="K34" s="583"/>
      <c r="L34" s="583"/>
      <c r="M34" s="583"/>
    </row>
    <row r="35" spans="2:14">
      <c r="C35" s="583"/>
      <c r="D35" s="583"/>
      <c r="E35" s="583"/>
      <c r="F35" s="583"/>
      <c r="G35" s="583"/>
      <c r="H35" s="583"/>
      <c r="I35" s="583"/>
      <c r="J35" s="583"/>
      <c r="K35" s="583"/>
      <c r="L35" s="583"/>
      <c r="M35" s="583"/>
    </row>
    <row r="36" spans="2:14">
      <c r="C36" s="583"/>
      <c r="D36" s="583"/>
      <c r="E36" s="583"/>
      <c r="F36" s="583"/>
      <c r="G36" s="583"/>
      <c r="H36" s="583"/>
      <c r="I36" s="583"/>
      <c r="J36" s="583"/>
      <c r="K36" s="583"/>
      <c r="L36" s="583"/>
      <c r="M36" s="583"/>
    </row>
    <row r="38" spans="2:14" ht="20.25" customHeight="1" thickBot="1">
      <c r="C38" s="98" t="s">
        <v>3495</v>
      </c>
    </row>
    <row r="39" spans="2:14">
      <c r="B39" s="3936" t="s">
        <v>1098</v>
      </c>
      <c r="C39" s="155" t="s">
        <v>1099</v>
      </c>
      <c r="D39" s="155" t="s">
        <v>5003</v>
      </c>
      <c r="E39" s="155" t="s">
        <v>5004</v>
      </c>
      <c r="F39" s="155" t="s">
        <v>2269</v>
      </c>
      <c r="G39" s="155" t="s">
        <v>5005</v>
      </c>
      <c r="H39" s="155" t="s">
        <v>5006</v>
      </c>
      <c r="I39" s="156" t="s">
        <v>5007</v>
      </c>
      <c r="J39" s="182" t="s">
        <v>950</v>
      </c>
      <c r="K39" s="301" t="s">
        <v>2256</v>
      </c>
      <c r="L39" s="89" t="s">
        <v>1755</v>
      </c>
      <c r="M39" s="188" t="s">
        <v>1757</v>
      </c>
      <c r="N39" s="93"/>
    </row>
    <row r="40" spans="2:14" ht="13.5" thickBot="1">
      <c r="B40" s="3937"/>
      <c r="C40" s="163" t="s">
        <v>1835</v>
      </c>
      <c r="D40" s="163" t="s">
        <v>1836</v>
      </c>
      <c r="E40" s="163"/>
      <c r="F40" s="163"/>
      <c r="G40" s="163" t="s">
        <v>3230</v>
      </c>
      <c r="H40" s="163"/>
      <c r="I40" s="164"/>
      <c r="J40" s="183" t="s">
        <v>3231</v>
      </c>
      <c r="K40" s="302" t="s">
        <v>1688</v>
      </c>
      <c r="L40" s="61" t="s">
        <v>1756</v>
      </c>
      <c r="M40" s="189" t="s">
        <v>1758</v>
      </c>
      <c r="N40" s="93"/>
    </row>
    <row r="41" spans="2:14" ht="18">
      <c r="B41" s="165">
        <v>1</v>
      </c>
      <c r="C41" s="195">
        <v>213</v>
      </c>
      <c r="D41" s="299" t="s">
        <v>4361</v>
      </c>
      <c r="E41" s="166" t="s">
        <v>3232</v>
      </c>
      <c r="F41" s="167" t="s">
        <v>3233</v>
      </c>
      <c r="G41" s="168">
        <v>1993</v>
      </c>
      <c r="H41" s="168" t="s">
        <v>2895</v>
      </c>
      <c r="I41" s="166" t="s">
        <v>2896</v>
      </c>
      <c r="J41" s="174">
        <v>3</v>
      </c>
      <c r="K41" s="303" t="s">
        <v>1689</v>
      </c>
      <c r="L41" s="191">
        <v>9800</v>
      </c>
      <c r="M41" s="190">
        <v>39224</v>
      </c>
      <c r="N41" s="300">
        <v>39258</v>
      </c>
    </row>
    <row r="42" spans="2:14" ht="18">
      <c r="B42" s="169">
        <v>2</v>
      </c>
      <c r="C42" s="196">
        <v>214</v>
      </c>
      <c r="D42" s="298" t="s">
        <v>4364</v>
      </c>
      <c r="E42" s="157" t="s">
        <v>3232</v>
      </c>
      <c r="F42" s="158" t="s">
        <v>3233</v>
      </c>
      <c r="G42" s="159">
        <v>1993</v>
      </c>
      <c r="H42" s="159" t="s">
        <v>2895</v>
      </c>
      <c r="I42" s="157" t="s">
        <v>2896</v>
      </c>
      <c r="J42" s="175">
        <v>3</v>
      </c>
      <c r="K42" s="304" t="s">
        <v>1689</v>
      </c>
      <c r="L42" s="192">
        <v>9590</v>
      </c>
      <c r="M42" s="185">
        <v>39223</v>
      </c>
      <c r="N42" s="300">
        <v>39258</v>
      </c>
    </row>
    <row r="43" spans="2:14" ht="18">
      <c r="B43" s="169">
        <v>3</v>
      </c>
      <c r="C43" s="196">
        <v>215</v>
      </c>
      <c r="D43" s="298" t="s">
        <v>4360</v>
      </c>
      <c r="E43" s="157" t="s">
        <v>3232</v>
      </c>
      <c r="F43" s="158" t="s">
        <v>3233</v>
      </c>
      <c r="G43" s="159">
        <v>1993</v>
      </c>
      <c r="H43" s="159" t="s">
        <v>2895</v>
      </c>
      <c r="I43" s="157" t="s">
        <v>2896</v>
      </c>
      <c r="J43" s="175">
        <v>3</v>
      </c>
      <c r="K43" s="304" t="s">
        <v>1689</v>
      </c>
      <c r="L43" s="192">
        <v>9870</v>
      </c>
      <c r="M43" s="185">
        <v>39224</v>
      </c>
      <c r="N43" s="300">
        <v>39258</v>
      </c>
    </row>
    <row r="44" spans="2:14" ht="18" hidden="1">
      <c r="B44" s="178">
        <v>4</v>
      </c>
      <c r="C44" s="194">
        <v>217</v>
      </c>
      <c r="D44" s="197" t="s">
        <v>1097</v>
      </c>
      <c r="E44" s="160" t="s">
        <v>3232</v>
      </c>
      <c r="F44" s="160" t="s">
        <v>3233</v>
      </c>
      <c r="G44" s="179">
        <v>1994</v>
      </c>
      <c r="H44" s="179" t="s">
        <v>2895</v>
      </c>
      <c r="I44" s="160" t="s">
        <v>2896</v>
      </c>
      <c r="J44" s="180">
        <v>3</v>
      </c>
      <c r="K44" s="186" t="s">
        <v>531</v>
      </c>
      <c r="L44" s="192"/>
      <c r="M44" s="153"/>
      <c r="N44" s="93"/>
    </row>
    <row r="45" spans="2:14" ht="18">
      <c r="B45" s="169">
        <v>5</v>
      </c>
      <c r="C45" s="196">
        <v>220</v>
      </c>
      <c r="D45" s="88" t="s">
        <v>4362</v>
      </c>
      <c r="E45" s="161" t="s">
        <v>3232</v>
      </c>
      <c r="F45" s="10" t="s">
        <v>3233</v>
      </c>
      <c r="G45" s="162">
        <v>1994</v>
      </c>
      <c r="H45" s="162" t="s">
        <v>2895</v>
      </c>
      <c r="I45" s="161" t="s">
        <v>2896</v>
      </c>
      <c r="J45" s="176">
        <v>3</v>
      </c>
      <c r="K45" s="184" t="s">
        <v>1689</v>
      </c>
      <c r="L45" s="192">
        <v>8800</v>
      </c>
      <c r="M45" s="185">
        <v>39224</v>
      </c>
      <c r="N45" s="308" t="s">
        <v>784</v>
      </c>
    </row>
    <row r="46" spans="2:14" ht="18">
      <c r="B46" s="169">
        <v>6</v>
      </c>
      <c r="C46" s="309">
        <v>228</v>
      </c>
      <c r="D46" s="298" t="s">
        <v>4363</v>
      </c>
      <c r="E46" s="157" t="s">
        <v>3232</v>
      </c>
      <c r="F46" s="158" t="s">
        <v>3233</v>
      </c>
      <c r="G46" s="159">
        <v>1996</v>
      </c>
      <c r="H46" s="159" t="s">
        <v>2897</v>
      </c>
      <c r="I46" s="157" t="s">
        <v>187</v>
      </c>
      <c r="J46" s="175">
        <v>3</v>
      </c>
      <c r="K46" s="304" t="s">
        <v>1689</v>
      </c>
      <c r="L46" s="192">
        <v>9220</v>
      </c>
      <c r="M46" s="185">
        <v>39224</v>
      </c>
      <c r="N46" s="300">
        <v>39318</v>
      </c>
    </row>
    <row r="47" spans="2:14" ht="18.75" thickBot="1">
      <c r="B47" s="170">
        <v>7</v>
      </c>
      <c r="C47" s="310">
        <v>235</v>
      </c>
      <c r="D47" s="312" t="s">
        <v>2087</v>
      </c>
      <c r="E47" s="171" t="s">
        <v>3232</v>
      </c>
      <c r="F47" s="172" t="s">
        <v>5000</v>
      </c>
      <c r="G47" s="173">
        <v>1999</v>
      </c>
      <c r="H47" s="172" t="s">
        <v>5001</v>
      </c>
      <c r="I47" s="171" t="s">
        <v>468</v>
      </c>
      <c r="J47" s="177">
        <v>3</v>
      </c>
      <c r="K47" s="311" t="s">
        <v>1689</v>
      </c>
      <c r="L47" s="193">
        <v>8160</v>
      </c>
      <c r="M47" s="187">
        <v>39223</v>
      </c>
      <c r="N47" s="300">
        <v>39318</v>
      </c>
    </row>
    <row r="48" spans="2:14">
      <c r="C48" s="181">
        <v>39224</v>
      </c>
    </row>
    <row r="49" spans="2:10">
      <c r="B49" t="s">
        <v>1350</v>
      </c>
    </row>
    <row r="50" spans="2:10">
      <c r="C50" s="3938" t="s">
        <v>4883</v>
      </c>
      <c r="D50" s="3939"/>
      <c r="E50" s="3939"/>
      <c r="F50" s="3939"/>
      <c r="G50" s="3939"/>
      <c r="H50" s="3939"/>
      <c r="I50" s="3939"/>
      <c r="J50" s="3939"/>
    </row>
    <row r="51" spans="2:10">
      <c r="C51" s="3939"/>
      <c r="D51" s="3939"/>
      <c r="E51" s="3939"/>
      <c r="F51" s="3939"/>
      <c r="G51" s="3939"/>
      <c r="H51" s="3939"/>
      <c r="I51" s="3939"/>
      <c r="J51" s="3939"/>
    </row>
    <row r="52" spans="2:10">
      <c r="C52" s="3939"/>
      <c r="D52" s="3939"/>
      <c r="E52" s="3939"/>
      <c r="F52" s="3939"/>
      <c r="G52" s="3939"/>
      <c r="H52" s="3939"/>
      <c r="I52" s="3939"/>
      <c r="J52" s="3939"/>
    </row>
  </sheetData>
  <mergeCells count="7">
    <mergeCell ref="B39:B40"/>
    <mergeCell ref="C50:J52"/>
    <mergeCell ref="B10:B11"/>
    <mergeCell ref="B3:B4"/>
    <mergeCell ref="C17:M19"/>
    <mergeCell ref="K22:L22"/>
    <mergeCell ref="K29:L29"/>
  </mergeCells>
  <phoneticPr fontId="11" type="noConversion"/>
  <printOptions horizontalCentered="1"/>
  <pageMargins left="0.75" right="0.75" top="0.51181102362204722" bottom="0.98425196850393704" header="0" footer="0"/>
  <pageSetup orientation="portrait" horizontalDpi="120" verticalDpi="144" r:id="rId1"/>
  <headerFooter alignWithMargins="0"/>
  <legacyDrawing r:id="rId2"/>
</worksheet>
</file>

<file path=xl/worksheets/sheet2.xml><?xml version="1.0" encoding="utf-8"?>
<worksheet xmlns="http://schemas.openxmlformats.org/spreadsheetml/2006/main" xmlns:r="http://schemas.openxmlformats.org/officeDocument/2006/relationships">
  <sheetPr codeName="Hoja5"/>
  <dimension ref="A2:Y93"/>
  <sheetViews>
    <sheetView workbookViewId="0">
      <selection activeCell="G6" sqref="G6"/>
    </sheetView>
  </sheetViews>
  <sheetFormatPr baseColWidth="10" defaultRowHeight="12.75"/>
  <cols>
    <col min="2" max="2" width="3" bestFit="1" customWidth="1"/>
    <col min="3" max="3" width="33.85546875" bestFit="1" customWidth="1"/>
    <col min="4" max="4" width="14.5703125" style="8" bestFit="1" customWidth="1"/>
    <col min="5" max="5" width="16.7109375" style="8" customWidth="1"/>
    <col min="7" max="7" width="14.42578125" bestFit="1" customWidth="1"/>
    <col min="8" max="8" width="18.28515625" bestFit="1" customWidth="1"/>
    <col min="9" max="9" width="31.85546875" style="1971" customWidth="1"/>
    <col min="10" max="10" width="14.28515625" customWidth="1"/>
  </cols>
  <sheetData>
    <row r="2" spans="2:9" ht="13.5" thickBot="1">
      <c r="C2" s="1825" t="s">
        <v>3152</v>
      </c>
      <c r="D2" s="1826" t="s">
        <v>1985</v>
      </c>
      <c r="E2" s="1825" t="s">
        <v>2312</v>
      </c>
    </row>
    <row r="3" spans="2:9">
      <c r="B3">
        <v>1</v>
      </c>
      <c r="C3" s="2363" t="s">
        <v>916</v>
      </c>
      <c r="D3" s="2364">
        <v>42380</v>
      </c>
      <c r="E3" s="2365" t="s">
        <v>3844</v>
      </c>
      <c r="F3" t="s">
        <v>4851</v>
      </c>
    </row>
    <row r="4" spans="2:9">
      <c r="B4">
        <v>2</v>
      </c>
      <c r="C4" s="1829" t="s">
        <v>3646</v>
      </c>
      <c r="D4" s="2359">
        <v>42005</v>
      </c>
      <c r="E4" s="2354" t="s">
        <v>4417</v>
      </c>
      <c r="F4" t="s">
        <v>4851</v>
      </c>
    </row>
    <row r="5" spans="2:9">
      <c r="B5">
        <v>3</v>
      </c>
      <c r="C5" s="1829" t="s">
        <v>3154</v>
      </c>
      <c r="D5" s="2359">
        <v>42005</v>
      </c>
      <c r="E5" s="2354" t="s">
        <v>1838</v>
      </c>
      <c r="F5" t="s">
        <v>4851</v>
      </c>
      <c r="H5" s="2396" t="s">
        <v>5579</v>
      </c>
      <c r="I5" t="s">
        <v>5575</v>
      </c>
    </row>
    <row r="6" spans="2:9">
      <c r="B6">
        <v>4</v>
      </c>
      <c r="C6" s="1829" t="s">
        <v>2645</v>
      </c>
      <c r="D6" s="2359">
        <v>42005</v>
      </c>
      <c r="E6" s="2354" t="s">
        <v>3546</v>
      </c>
      <c r="F6" t="s">
        <v>4851</v>
      </c>
      <c r="H6" s="2396" t="s">
        <v>5588</v>
      </c>
      <c r="I6" s="3260">
        <v>31765</v>
      </c>
    </row>
    <row r="7" spans="2:9">
      <c r="B7">
        <v>5</v>
      </c>
      <c r="C7" s="1829" t="s">
        <v>917</v>
      </c>
      <c r="D7" s="2359">
        <v>42005</v>
      </c>
      <c r="E7" s="2354" t="s">
        <v>436</v>
      </c>
      <c r="F7" t="s">
        <v>4851</v>
      </c>
      <c r="H7" s="2396" t="s">
        <v>5589</v>
      </c>
      <c r="I7" s="3261" t="s">
        <v>5590</v>
      </c>
    </row>
    <row r="8" spans="2:9">
      <c r="B8">
        <v>6</v>
      </c>
      <c r="C8" s="1829" t="s">
        <v>781</v>
      </c>
      <c r="D8" s="2359">
        <v>42005</v>
      </c>
      <c r="E8" s="2354" t="s">
        <v>1561</v>
      </c>
      <c r="F8" t="s">
        <v>4851</v>
      </c>
      <c r="H8" s="2396" t="s">
        <v>4769</v>
      </c>
      <c r="I8" s="3259" t="s">
        <v>1610</v>
      </c>
    </row>
    <row r="9" spans="2:9">
      <c r="B9">
        <v>7</v>
      </c>
      <c r="C9" s="1829" t="s">
        <v>615</v>
      </c>
      <c r="D9" s="2359">
        <v>42005</v>
      </c>
      <c r="E9" s="2354" t="s">
        <v>431</v>
      </c>
      <c r="F9" t="s">
        <v>4851</v>
      </c>
      <c r="H9" s="2396" t="s">
        <v>5587</v>
      </c>
      <c r="I9" s="3258">
        <v>43405</v>
      </c>
    </row>
    <row r="10" spans="2:9">
      <c r="B10">
        <v>8</v>
      </c>
      <c r="C10" s="1829" t="s">
        <v>3649</v>
      </c>
      <c r="D10" s="2359">
        <v>42005</v>
      </c>
      <c r="E10" s="2354" t="s">
        <v>3648</v>
      </c>
      <c r="F10" t="s">
        <v>4851</v>
      </c>
      <c r="H10" t="s">
        <v>5576</v>
      </c>
      <c r="I10" s="3256" t="s">
        <v>5580</v>
      </c>
    </row>
    <row r="11" spans="2:9">
      <c r="H11" t="s">
        <v>5578</v>
      </c>
      <c r="I11" s="1971" t="s">
        <v>5577</v>
      </c>
    </row>
    <row r="12" spans="2:9" ht="13.5" thickBot="1">
      <c r="C12" s="1825" t="s">
        <v>3152</v>
      </c>
      <c r="D12" s="1826" t="s">
        <v>1985</v>
      </c>
      <c r="E12" s="1825" t="s">
        <v>918</v>
      </c>
      <c r="H12" s="2396" t="s">
        <v>5581</v>
      </c>
      <c r="I12" s="3256" t="s">
        <v>5582</v>
      </c>
    </row>
    <row r="13" spans="2:9">
      <c r="B13">
        <v>1</v>
      </c>
      <c r="C13" s="2356" t="s">
        <v>747</v>
      </c>
      <c r="D13" s="2359">
        <v>39822</v>
      </c>
      <c r="E13" s="2354" t="s">
        <v>4612</v>
      </c>
      <c r="F13" t="s">
        <v>4852</v>
      </c>
      <c r="H13" s="2396" t="s">
        <v>5583</v>
      </c>
      <c r="I13" s="3257" t="s">
        <v>5584</v>
      </c>
    </row>
    <row r="14" spans="2:9">
      <c r="B14">
        <v>2</v>
      </c>
      <c r="C14" s="2357" t="s">
        <v>467</v>
      </c>
      <c r="D14" s="2361">
        <v>39820</v>
      </c>
      <c r="E14" s="2358" t="s">
        <v>899</v>
      </c>
      <c r="F14" s="496" t="s">
        <v>4852</v>
      </c>
      <c r="H14" s="2396" t="s">
        <v>5585</v>
      </c>
      <c r="I14" s="3760" t="s">
        <v>5586</v>
      </c>
    </row>
    <row r="15" spans="2:9">
      <c r="B15">
        <v>3</v>
      </c>
      <c r="C15" s="2356" t="s">
        <v>2006</v>
      </c>
      <c r="D15" s="2359">
        <v>39820</v>
      </c>
      <c r="E15" s="2354" t="s">
        <v>2697</v>
      </c>
      <c r="F15" t="s">
        <v>4852</v>
      </c>
      <c r="I15" s="3761"/>
    </row>
    <row r="16" spans="2:9">
      <c r="B16">
        <v>4</v>
      </c>
      <c r="C16" s="2356" t="s">
        <v>1212</v>
      </c>
      <c r="D16" s="2359">
        <v>39820</v>
      </c>
      <c r="E16" s="2354" t="s">
        <v>4292</v>
      </c>
      <c r="F16" t="s">
        <v>4852</v>
      </c>
      <c r="I16" s="3762"/>
    </row>
    <row r="17" spans="2:9">
      <c r="B17">
        <v>5</v>
      </c>
      <c r="C17" s="2356" t="s">
        <v>4174</v>
      </c>
      <c r="D17" s="2359">
        <v>39820</v>
      </c>
      <c r="E17" s="2354" t="s">
        <v>4173</v>
      </c>
      <c r="F17" t="s">
        <v>4852</v>
      </c>
    </row>
    <row r="18" spans="2:9">
      <c r="B18">
        <v>6</v>
      </c>
      <c r="C18" s="2356" t="s">
        <v>46</v>
      </c>
      <c r="D18" s="2359">
        <v>39820</v>
      </c>
      <c r="E18" s="2354" t="s">
        <v>2160</v>
      </c>
      <c r="F18" t="s">
        <v>4852</v>
      </c>
      <c r="H18" s="2396" t="s">
        <v>5579</v>
      </c>
      <c r="I18" s="2396" t="s">
        <v>5591</v>
      </c>
    </row>
    <row r="19" spans="2:9">
      <c r="B19">
        <v>7</v>
      </c>
      <c r="C19" s="2356" t="s">
        <v>919</v>
      </c>
      <c r="D19" s="2359">
        <v>41647</v>
      </c>
      <c r="E19" s="2354" t="s">
        <v>920</v>
      </c>
      <c r="F19" t="s">
        <v>4852</v>
      </c>
      <c r="H19" s="2396" t="s">
        <v>5588</v>
      </c>
      <c r="I19" s="3260">
        <v>33732</v>
      </c>
    </row>
    <row r="20" spans="2:9" ht="12.75" customHeight="1">
      <c r="B20">
        <v>8</v>
      </c>
      <c r="C20" s="2356" t="s">
        <v>5045</v>
      </c>
      <c r="D20" s="2359">
        <v>39820</v>
      </c>
      <c r="E20" s="2354" t="s">
        <v>5044</v>
      </c>
      <c r="F20" t="s">
        <v>4852</v>
      </c>
      <c r="H20" s="2396" t="s">
        <v>5589</v>
      </c>
      <c r="I20" s="3261" t="s">
        <v>5598</v>
      </c>
    </row>
    <row r="21" spans="2:9">
      <c r="B21">
        <v>9</v>
      </c>
      <c r="C21" s="2356" t="s">
        <v>3585</v>
      </c>
      <c r="D21" s="2359">
        <v>39820</v>
      </c>
      <c r="E21" s="2354" t="s">
        <v>102</v>
      </c>
      <c r="F21" t="s">
        <v>4852</v>
      </c>
      <c r="H21" s="2396" t="s">
        <v>4769</v>
      </c>
      <c r="I21" s="3259" t="s">
        <v>1610</v>
      </c>
    </row>
    <row r="22" spans="2:9">
      <c r="B22">
        <v>10</v>
      </c>
      <c r="C22" s="2366" t="s">
        <v>440</v>
      </c>
      <c r="D22" s="2364">
        <v>42370</v>
      </c>
      <c r="E22" s="2365" t="s">
        <v>4366</v>
      </c>
      <c r="F22" t="s">
        <v>4852</v>
      </c>
      <c r="H22" s="2396" t="s">
        <v>5587</v>
      </c>
      <c r="I22" s="3258">
        <v>43405</v>
      </c>
    </row>
    <row r="23" spans="2:9">
      <c r="B23">
        <v>11</v>
      </c>
      <c r="C23" s="2356" t="s">
        <v>1793</v>
      </c>
      <c r="D23" s="2359">
        <v>39820</v>
      </c>
      <c r="E23" s="2354" t="s">
        <v>40</v>
      </c>
      <c r="F23" t="s">
        <v>4852</v>
      </c>
      <c r="H23" s="2396" t="s">
        <v>5593</v>
      </c>
      <c r="I23" s="3256" t="s">
        <v>5592</v>
      </c>
    </row>
    <row r="24" spans="2:9">
      <c r="B24">
        <v>12</v>
      </c>
      <c r="C24" s="2356" t="s">
        <v>4290</v>
      </c>
      <c r="D24" s="2359">
        <v>39820</v>
      </c>
      <c r="E24" s="2354" t="s">
        <v>664</v>
      </c>
      <c r="F24" t="s">
        <v>4852</v>
      </c>
      <c r="H24" t="s">
        <v>5578</v>
      </c>
      <c r="I24" s="1971" t="s">
        <v>5577</v>
      </c>
    </row>
    <row r="25" spans="2:9">
      <c r="B25">
        <v>13</v>
      </c>
      <c r="C25" s="2356" t="s">
        <v>4396</v>
      </c>
      <c r="D25" s="2359">
        <v>39820</v>
      </c>
      <c r="E25" s="2354" t="s">
        <v>1678</v>
      </c>
      <c r="F25" t="s">
        <v>4852</v>
      </c>
      <c r="H25" s="2396" t="s">
        <v>5581</v>
      </c>
      <c r="I25" s="3256" t="s">
        <v>5594</v>
      </c>
    </row>
    <row r="26" spans="2:9">
      <c r="B26">
        <v>14</v>
      </c>
      <c r="C26" s="2356" t="s">
        <v>1920</v>
      </c>
      <c r="D26" s="2359">
        <v>40184</v>
      </c>
      <c r="E26" s="2354" t="s">
        <v>3635</v>
      </c>
      <c r="F26" t="s">
        <v>4852</v>
      </c>
      <c r="H26" s="2396" t="s">
        <v>5583</v>
      </c>
      <c r="I26" s="3257" t="s">
        <v>5595</v>
      </c>
    </row>
    <row r="27" spans="2:9">
      <c r="B27">
        <v>15</v>
      </c>
      <c r="C27" s="2356" t="s">
        <v>4573</v>
      </c>
      <c r="D27" s="2359">
        <v>39820</v>
      </c>
      <c r="E27" s="2354" t="s">
        <v>3680</v>
      </c>
      <c r="F27" t="s">
        <v>4852</v>
      </c>
      <c r="H27" s="2396" t="s">
        <v>5585</v>
      </c>
      <c r="I27" s="3760" t="s">
        <v>5602</v>
      </c>
    </row>
    <row r="28" spans="2:9">
      <c r="B28">
        <v>16</v>
      </c>
      <c r="C28" s="2356" t="s">
        <v>220</v>
      </c>
      <c r="D28" s="2359">
        <v>39822</v>
      </c>
      <c r="E28" s="2354" t="s">
        <v>1990</v>
      </c>
      <c r="F28" t="s">
        <v>4852</v>
      </c>
      <c r="I28" s="3761"/>
    </row>
    <row r="29" spans="2:9" ht="12.75" customHeight="1">
      <c r="B29">
        <v>17</v>
      </c>
      <c r="C29" s="2356" t="s">
        <v>3159</v>
      </c>
      <c r="D29" s="2359">
        <v>40189</v>
      </c>
      <c r="E29" s="2354" t="s">
        <v>439</v>
      </c>
      <c r="F29" t="s">
        <v>4852</v>
      </c>
      <c r="I29" s="3762"/>
    </row>
    <row r="31" spans="2:9" ht="13.5" thickBot="1">
      <c r="C31" s="1825" t="s">
        <v>3152</v>
      </c>
      <c r="D31" s="1826" t="s">
        <v>1985</v>
      </c>
      <c r="E31" s="1825" t="s">
        <v>918</v>
      </c>
      <c r="H31" s="2396" t="s">
        <v>5579</v>
      </c>
      <c r="I31" s="2396" t="s">
        <v>5596</v>
      </c>
    </row>
    <row r="32" spans="2:9">
      <c r="B32">
        <v>1</v>
      </c>
      <c r="C32" s="2356" t="s">
        <v>2918</v>
      </c>
      <c r="D32" s="2355">
        <v>42348</v>
      </c>
      <c r="E32" s="2354" t="s">
        <v>2917</v>
      </c>
      <c r="F32" t="s">
        <v>3744</v>
      </c>
      <c r="H32" s="2396" t="s">
        <v>5588</v>
      </c>
      <c r="I32" s="3260">
        <v>35655</v>
      </c>
    </row>
    <row r="33" spans="2:9">
      <c r="B33">
        <v>2</v>
      </c>
      <c r="C33" s="2356" t="s">
        <v>1224</v>
      </c>
      <c r="D33" s="2359">
        <v>42310</v>
      </c>
      <c r="E33" s="2354" t="s">
        <v>1430</v>
      </c>
      <c r="F33" t="s">
        <v>3744</v>
      </c>
      <c r="H33" s="2396" t="s">
        <v>5589</v>
      </c>
      <c r="I33" s="3261" t="s">
        <v>5597</v>
      </c>
    </row>
    <row r="34" spans="2:9">
      <c r="B34">
        <v>3</v>
      </c>
      <c r="C34" s="2356" t="s">
        <v>4183</v>
      </c>
      <c r="D34" s="2359">
        <v>41659</v>
      </c>
      <c r="E34" s="2354" t="s">
        <v>18</v>
      </c>
      <c r="F34" t="s">
        <v>3744</v>
      </c>
      <c r="H34" s="2396" t="s">
        <v>4769</v>
      </c>
      <c r="I34" s="3259" t="s">
        <v>1754</v>
      </c>
    </row>
    <row r="35" spans="2:9">
      <c r="B35">
        <v>4</v>
      </c>
      <c r="C35" s="2356" t="s">
        <v>4853</v>
      </c>
      <c r="D35" s="2355">
        <v>42371</v>
      </c>
      <c r="E35" s="2354" t="s">
        <v>4854</v>
      </c>
      <c r="F35" t="s">
        <v>3744</v>
      </c>
      <c r="H35" s="2396" t="s">
        <v>5587</v>
      </c>
      <c r="I35" s="3258">
        <v>43405</v>
      </c>
    </row>
    <row r="36" spans="2:9">
      <c r="B36">
        <v>5</v>
      </c>
      <c r="C36" s="2356" t="s">
        <v>1553</v>
      </c>
      <c r="D36" s="2359">
        <v>42128</v>
      </c>
      <c r="E36" s="2354" t="s">
        <v>1926</v>
      </c>
      <c r="F36" t="s">
        <v>3744</v>
      </c>
      <c r="H36" s="2396" t="s">
        <v>5593</v>
      </c>
      <c r="I36" s="3256" t="s">
        <v>5599</v>
      </c>
    </row>
    <row r="37" spans="2:9">
      <c r="B37">
        <v>6</v>
      </c>
      <c r="C37" s="2356" t="s">
        <v>925</v>
      </c>
      <c r="D37" s="2359">
        <v>42289</v>
      </c>
      <c r="E37" s="2354" t="s">
        <v>924</v>
      </c>
      <c r="F37" t="s">
        <v>3744</v>
      </c>
      <c r="H37" t="s">
        <v>5578</v>
      </c>
      <c r="I37" s="1971" t="s">
        <v>5577</v>
      </c>
    </row>
    <row r="38" spans="2:9">
      <c r="B38">
        <v>7</v>
      </c>
      <c r="C38" s="2356" t="s">
        <v>2920</v>
      </c>
      <c r="D38" s="2359">
        <v>42009</v>
      </c>
      <c r="E38" s="2354" t="s">
        <v>2919</v>
      </c>
      <c r="F38" t="s">
        <v>3744</v>
      </c>
      <c r="H38" s="2396" t="s">
        <v>5581</v>
      </c>
      <c r="I38" s="3256" t="s">
        <v>5600</v>
      </c>
    </row>
    <row r="39" spans="2:9">
      <c r="B39">
        <v>8</v>
      </c>
      <c r="C39" s="2356" t="s">
        <v>1563</v>
      </c>
      <c r="D39" s="2359">
        <v>42401</v>
      </c>
      <c r="E39" s="2354" t="s">
        <v>1562</v>
      </c>
      <c r="F39" t="s">
        <v>3744</v>
      </c>
      <c r="H39" s="2396" t="s">
        <v>5583</v>
      </c>
      <c r="I39" s="3257" t="s">
        <v>5601</v>
      </c>
    </row>
    <row r="40" spans="2:9">
      <c r="B40">
        <v>9</v>
      </c>
      <c r="C40" s="2356" t="s">
        <v>3662</v>
      </c>
      <c r="D40" s="2359">
        <v>41946</v>
      </c>
      <c r="E40" s="2354" t="s">
        <v>1564</v>
      </c>
      <c r="F40" t="s">
        <v>3744</v>
      </c>
      <c r="H40" s="2396" t="s">
        <v>5585</v>
      </c>
      <c r="I40" s="3760" t="s">
        <v>5602</v>
      </c>
    </row>
    <row r="41" spans="2:9">
      <c r="B41">
        <v>10</v>
      </c>
      <c r="C41" s="2356" t="s">
        <v>1211</v>
      </c>
      <c r="D41" s="2359">
        <v>42310</v>
      </c>
      <c r="E41" s="2354" t="s">
        <v>4948</v>
      </c>
      <c r="F41" t="s">
        <v>3744</v>
      </c>
      <c r="I41" s="3761"/>
    </row>
    <row r="42" spans="2:9">
      <c r="B42">
        <v>11</v>
      </c>
      <c r="C42" s="2356" t="s">
        <v>4850</v>
      </c>
      <c r="D42" s="2359">
        <v>42010</v>
      </c>
      <c r="E42" s="2354" t="s">
        <v>4849</v>
      </c>
      <c r="F42" t="s">
        <v>3744</v>
      </c>
      <c r="I42" s="3762"/>
    </row>
    <row r="43" spans="2:9">
      <c r="B43">
        <v>12</v>
      </c>
      <c r="C43" s="2356" t="s">
        <v>2923</v>
      </c>
      <c r="D43" s="2360" t="s">
        <v>2921</v>
      </c>
      <c r="E43" s="2354" t="s">
        <v>2922</v>
      </c>
      <c r="F43" t="s">
        <v>3744</v>
      </c>
    </row>
    <row r="44" spans="2:9">
      <c r="B44">
        <v>13</v>
      </c>
      <c r="C44" s="2356" t="s">
        <v>2127</v>
      </c>
      <c r="D44" s="2359">
        <v>42248</v>
      </c>
      <c r="E44" s="2354" t="s">
        <v>2126</v>
      </c>
      <c r="F44" t="s">
        <v>3744</v>
      </c>
    </row>
    <row r="45" spans="2:9">
      <c r="B45">
        <v>14</v>
      </c>
      <c r="C45" s="1829" t="s">
        <v>1095</v>
      </c>
      <c r="D45" s="2355">
        <v>42371</v>
      </c>
      <c r="E45" s="2354" t="s">
        <v>4840</v>
      </c>
      <c r="F45" t="s">
        <v>3744</v>
      </c>
    </row>
    <row r="46" spans="2:9">
      <c r="B46">
        <v>15</v>
      </c>
      <c r="C46" s="2356" t="s">
        <v>3652</v>
      </c>
      <c r="D46" s="2359">
        <v>42191</v>
      </c>
      <c r="E46" s="2354" t="s">
        <v>3651</v>
      </c>
      <c r="F46" t="s">
        <v>3744</v>
      </c>
    </row>
    <row r="47" spans="2:9">
      <c r="B47">
        <v>16</v>
      </c>
      <c r="C47" s="2356" t="s">
        <v>2695</v>
      </c>
      <c r="D47" s="2359">
        <v>41342</v>
      </c>
      <c r="E47" s="2354" t="s">
        <v>627</v>
      </c>
      <c r="F47" t="s">
        <v>3744</v>
      </c>
    </row>
    <row r="48" spans="2:9">
      <c r="B48">
        <v>17</v>
      </c>
      <c r="C48" s="1829" t="s">
        <v>4841</v>
      </c>
      <c r="D48" s="2355">
        <v>42371</v>
      </c>
      <c r="E48" s="2354" t="s">
        <v>4842</v>
      </c>
      <c r="F48" t="s">
        <v>3744</v>
      </c>
    </row>
    <row r="49" spans="2:7">
      <c r="B49">
        <v>18</v>
      </c>
      <c r="C49" s="1829" t="s">
        <v>4844</v>
      </c>
      <c r="D49" s="2355">
        <v>42371</v>
      </c>
      <c r="E49" s="2354" t="s">
        <v>4843</v>
      </c>
      <c r="F49" t="s">
        <v>3744</v>
      </c>
    </row>
    <row r="51" spans="2:7" ht="15.75">
      <c r="C51" s="2369">
        <f>+B49+B29+B10</f>
        <v>43</v>
      </c>
      <c r="D51" s="2367" t="s">
        <v>4845</v>
      </c>
      <c r="E51" s="2368">
        <v>42425</v>
      </c>
    </row>
    <row r="54" spans="2:7">
      <c r="C54" s="2356" t="s">
        <v>923</v>
      </c>
      <c r="D54" s="2360" t="s">
        <v>921</v>
      </c>
      <c r="E54" s="2354" t="s">
        <v>922</v>
      </c>
      <c r="F54" t="s">
        <v>3744</v>
      </c>
    </row>
    <row r="55" spans="2:7">
      <c r="C55" s="2356" t="s">
        <v>4848</v>
      </c>
      <c r="D55" s="2359">
        <v>40612</v>
      </c>
      <c r="E55" s="2354" t="s">
        <v>2924</v>
      </c>
      <c r="F55" t="s">
        <v>3744</v>
      </c>
    </row>
    <row r="56" spans="2:7">
      <c r="C56" s="2356" t="s">
        <v>2916</v>
      </c>
      <c r="D56" s="2359">
        <v>42159</v>
      </c>
      <c r="E56" s="2354" t="s">
        <v>2130</v>
      </c>
      <c r="F56" t="s">
        <v>3744</v>
      </c>
    </row>
    <row r="57" spans="2:7">
      <c r="C57" s="2356" t="s">
        <v>1925</v>
      </c>
      <c r="D57" s="2359">
        <v>42162</v>
      </c>
      <c r="E57" s="2354" t="s">
        <v>1101</v>
      </c>
      <c r="F57" t="s">
        <v>3744</v>
      </c>
    </row>
    <row r="58" spans="2:7">
      <c r="C58" s="2356" t="s">
        <v>927</v>
      </c>
      <c r="D58" s="2359">
        <v>41701</v>
      </c>
      <c r="E58" s="2354" t="s">
        <v>926</v>
      </c>
    </row>
    <row r="59" spans="2:7">
      <c r="C59" s="2356" t="s">
        <v>2129</v>
      </c>
      <c r="D59" s="2359">
        <v>41701</v>
      </c>
      <c r="E59" s="2354" t="s">
        <v>2128</v>
      </c>
    </row>
    <row r="63" spans="2:7">
      <c r="D63" s="2984"/>
      <c r="E63" s="2984"/>
    </row>
    <row r="64" spans="2:7" ht="14.25">
      <c r="C64" s="614" t="s">
        <v>5354</v>
      </c>
      <c r="D64" s="1955"/>
      <c r="E64" s="448"/>
      <c r="F64" s="448"/>
      <c r="G64" s="1955"/>
    </row>
    <row r="65" spans="1:25" ht="14.25">
      <c r="C65" s="448"/>
      <c r="D65" s="1955"/>
      <c r="E65" s="448"/>
      <c r="F65" s="448"/>
      <c r="G65" s="1955"/>
      <c r="J65" s="83"/>
    </row>
    <row r="66" spans="1:25" ht="15" thickBot="1">
      <c r="C66" s="1957" t="s">
        <v>4358</v>
      </c>
      <c r="D66" s="1958" t="s">
        <v>3623</v>
      </c>
      <c r="E66" s="1958" t="s">
        <v>3624</v>
      </c>
      <c r="F66" s="1958" t="s">
        <v>5355</v>
      </c>
      <c r="G66" s="1958" t="s">
        <v>5356</v>
      </c>
      <c r="J66" s="2995" t="s">
        <v>5248</v>
      </c>
      <c r="N66" s="448"/>
      <c r="O66" s="448"/>
      <c r="P66" s="448"/>
      <c r="Q66" s="448"/>
      <c r="R66" s="448"/>
      <c r="S66" s="448"/>
      <c r="T66" s="75"/>
      <c r="U66" s="75"/>
      <c r="V66" s="75"/>
      <c r="W66" s="75"/>
      <c r="X66" s="1195"/>
      <c r="Y66" s="1195"/>
    </row>
    <row r="67" spans="1:25" ht="18.75" thickTop="1">
      <c r="B67" s="131">
        <v>1</v>
      </c>
      <c r="C67" s="1967" t="s">
        <v>2042</v>
      </c>
      <c r="D67" s="1959">
        <v>1</v>
      </c>
      <c r="E67" s="1959">
        <v>2</v>
      </c>
      <c r="F67" s="1960">
        <v>38.5</v>
      </c>
      <c r="G67" s="2989">
        <f t="shared" ref="G67:G72" si="0">+F67*7+(D67+E67)*6</f>
        <v>287.5</v>
      </c>
      <c r="H67" s="448"/>
      <c r="J67" s="1081">
        <f t="shared" ref="J67:J72" si="1">+G67-I70</f>
        <v>250.125</v>
      </c>
    </row>
    <row r="68" spans="1:25" ht="18">
      <c r="A68" s="131"/>
      <c r="B68" s="131">
        <v>2</v>
      </c>
      <c r="C68" s="1968" t="s">
        <v>2043</v>
      </c>
      <c r="D68" s="1961">
        <v>1</v>
      </c>
      <c r="E68" s="1961">
        <v>2</v>
      </c>
      <c r="F68" s="1962">
        <v>38.5</v>
      </c>
      <c r="G68" s="2990">
        <f t="shared" si="0"/>
        <v>287.5</v>
      </c>
      <c r="H68" s="448"/>
      <c r="I68" s="3254" t="s">
        <v>5352</v>
      </c>
      <c r="J68" s="1081">
        <f t="shared" si="1"/>
        <v>250.125</v>
      </c>
    </row>
    <row r="69" spans="1:25" ht="18">
      <c r="A69" s="131"/>
      <c r="B69" s="131">
        <v>3</v>
      </c>
      <c r="C69" s="1968" t="s">
        <v>4494</v>
      </c>
      <c r="D69" s="1961">
        <v>1</v>
      </c>
      <c r="E69" s="1961">
        <v>2</v>
      </c>
      <c r="F69" s="1962">
        <v>38.5</v>
      </c>
      <c r="G69" s="2990">
        <f t="shared" si="0"/>
        <v>287.5</v>
      </c>
      <c r="H69" s="2988" t="s">
        <v>5357</v>
      </c>
      <c r="I69" s="3255" t="s">
        <v>5353</v>
      </c>
      <c r="J69" s="1081">
        <f t="shared" si="1"/>
        <v>250.125</v>
      </c>
    </row>
    <row r="70" spans="1:25" ht="18">
      <c r="A70" s="131"/>
      <c r="B70" s="131">
        <v>4</v>
      </c>
      <c r="C70" s="2985" t="s">
        <v>448</v>
      </c>
      <c r="D70" s="1961">
        <v>1</v>
      </c>
      <c r="E70" s="1961">
        <v>2</v>
      </c>
      <c r="F70" s="1962">
        <v>38.5</v>
      </c>
      <c r="G70" s="2990">
        <f t="shared" si="0"/>
        <v>287.5</v>
      </c>
      <c r="H70" s="2987">
        <v>70</v>
      </c>
      <c r="I70" s="74">
        <f>+G67*0.13</f>
        <v>37.375</v>
      </c>
      <c r="J70" s="1081">
        <f t="shared" si="1"/>
        <v>250.125</v>
      </c>
    </row>
    <row r="71" spans="1:25" ht="18">
      <c r="A71" s="131"/>
      <c r="B71" s="131">
        <v>5</v>
      </c>
      <c r="C71" s="1968" t="s">
        <v>510</v>
      </c>
      <c r="D71" s="1961">
        <v>1</v>
      </c>
      <c r="E71" s="1961">
        <v>2</v>
      </c>
      <c r="F71" s="1962">
        <v>33.799999999999997</v>
      </c>
      <c r="G71" s="2990">
        <f t="shared" si="0"/>
        <v>254.59999999999997</v>
      </c>
      <c r="H71" s="2987"/>
      <c r="I71" s="74">
        <f t="shared" ref="I71:I79" si="2">+G68*0.13</f>
        <v>37.375</v>
      </c>
      <c r="J71" s="1081">
        <f t="shared" si="1"/>
        <v>221.50199999999995</v>
      </c>
    </row>
    <row r="72" spans="1:25" ht="18">
      <c r="A72" s="131"/>
      <c r="B72" s="131">
        <v>6</v>
      </c>
      <c r="C72" s="2985" t="s">
        <v>5351</v>
      </c>
      <c r="D72" s="1961">
        <v>1</v>
      </c>
      <c r="E72" s="1961">
        <v>2</v>
      </c>
      <c r="F72" s="1962">
        <v>30.76</v>
      </c>
      <c r="G72" s="2990">
        <f t="shared" si="0"/>
        <v>233.32000000000002</v>
      </c>
      <c r="H72" s="2987">
        <v>85.83</v>
      </c>
      <c r="I72" s="74">
        <f t="shared" si="2"/>
        <v>37.375</v>
      </c>
      <c r="J72" s="1081">
        <f t="shared" si="1"/>
        <v>202.98840000000001</v>
      </c>
    </row>
    <row r="73" spans="1:25" ht="18">
      <c r="A73" s="131"/>
      <c r="B73" s="131"/>
      <c r="C73" s="2991"/>
      <c r="D73" s="2992"/>
      <c r="E73" s="2992"/>
      <c r="F73" s="2993"/>
      <c r="G73" s="2994"/>
      <c r="H73" s="448"/>
      <c r="I73" s="74">
        <f t="shared" si="2"/>
        <v>37.375</v>
      </c>
      <c r="J73" s="1081"/>
    </row>
    <row r="74" spans="1:25" ht="18">
      <c r="A74" s="131"/>
      <c r="B74" s="131"/>
      <c r="C74" s="2991"/>
      <c r="D74" s="2992"/>
      <c r="E74" s="2992"/>
      <c r="F74" s="2993"/>
      <c r="G74" s="2994"/>
      <c r="H74" s="448"/>
      <c r="I74" s="74">
        <f t="shared" si="2"/>
        <v>33.097999999999999</v>
      </c>
      <c r="J74" s="1081"/>
    </row>
    <row r="75" spans="1:25" ht="18">
      <c r="A75" s="131"/>
      <c r="F75" s="2396"/>
      <c r="G75" s="17"/>
      <c r="H75" s="448"/>
      <c r="I75" s="74">
        <f t="shared" si="2"/>
        <v>30.331600000000005</v>
      </c>
      <c r="J75" s="1081"/>
    </row>
    <row r="76" spans="1:25" ht="18">
      <c r="A76" s="131"/>
      <c r="B76" s="131"/>
      <c r="C76" s="2986" t="s">
        <v>5359</v>
      </c>
      <c r="D76" s="1961">
        <v>1</v>
      </c>
      <c r="E76" s="1961">
        <v>2</v>
      </c>
      <c r="F76" s="1962">
        <v>25.761900000000001</v>
      </c>
      <c r="G76" s="2990">
        <f>+F76*7+(D76+E76)*6</f>
        <v>198.33330000000001</v>
      </c>
      <c r="H76" s="448"/>
      <c r="I76" s="74"/>
      <c r="J76" s="1081">
        <f>+G76-I79</f>
        <v>172.549971</v>
      </c>
    </row>
    <row r="77" spans="1:25" ht="14.25">
      <c r="A77" s="131"/>
      <c r="B77" s="131"/>
      <c r="C77" s="448"/>
      <c r="D77" s="448"/>
      <c r="E77" s="1956"/>
      <c r="F77" s="448"/>
      <c r="G77" s="448"/>
      <c r="H77" s="448"/>
      <c r="I77" s="74"/>
    </row>
    <row r="78" spans="1:25">
      <c r="A78" s="131"/>
      <c r="B78" s="131"/>
      <c r="C78" s="448"/>
      <c r="D78" s="448"/>
      <c r="E78" s="448"/>
      <c r="F78" s="448"/>
      <c r="G78" s="448"/>
      <c r="H78" s="2396" t="s">
        <v>5358</v>
      </c>
      <c r="I78" s="74"/>
      <c r="J78" s="448"/>
    </row>
    <row r="79" spans="1:25">
      <c r="H79" s="2996">
        <f>+G76/7*30</f>
        <v>849.99985714285719</v>
      </c>
      <c r="I79" s="74">
        <f t="shared" si="2"/>
        <v>25.783329000000002</v>
      </c>
      <c r="N79" s="75"/>
      <c r="O79" s="75"/>
      <c r="P79" s="1195"/>
      <c r="Q79" s="1195"/>
    </row>
    <row r="80" spans="1:25">
      <c r="H80" s="448"/>
    </row>
    <row r="81" spans="2:9" ht="15.75">
      <c r="C81" s="581" t="s">
        <v>1906</v>
      </c>
      <c r="H81" s="448"/>
      <c r="I81" s="2300"/>
    </row>
    <row r="82" spans="2:9">
      <c r="C82" s="1963" t="s">
        <v>2550</v>
      </c>
      <c r="D82" s="1194" t="s">
        <v>2548</v>
      </c>
      <c r="E82" s="1090"/>
    </row>
    <row r="83" spans="2:9">
      <c r="C83" s="139" t="s">
        <v>3149</v>
      </c>
    </row>
    <row r="84" spans="2:9">
      <c r="C84" s="1964" t="s">
        <v>3152</v>
      </c>
      <c r="D84" s="1966" t="s">
        <v>1986</v>
      </c>
      <c r="E84" s="1964" t="s">
        <v>1987</v>
      </c>
    </row>
    <row r="85" spans="2:9" ht="13.5">
      <c r="C85" s="1965" t="s">
        <v>3649</v>
      </c>
      <c r="D85" s="2362">
        <v>35</v>
      </c>
      <c r="E85" s="1689">
        <v>1144.5</v>
      </c>
    </row>
    <row r="86" spans="2:9" ht="13.5">
      <c r="C86" s="1965" t="s">
        <v>2645</v>
      </c>
      <c r="D86" s="2362">
        <v>33</v>
      </c>
      <c r="E86" s="1689">
        <v>1079.0999999999999</v>
      </c>
    </row>
    <row r="87" spans="2:9" ht="15.2" customHeight="1">
      <c r="B87">
        <v>1</v>
      </c>
      <c r="C87" s="1965" t="s">
        <v>781</v>
      </c>
      <c r="D87" s="2362">
        <v>30</v>
      </c>
      <c r="E87" s="1689">
        <v>981</v>
      </c>
    </row>
    <row r="88" spans="2:9" ht="15.2" customHeight="1">
      <c r="B88">
        <v>2</v>
      </c>
      <c r="C88" s="1965" t="s">
        <v>3154</v>
      </c>
      <c r="D88" s="2362">
        <v>32.75</v>
      </c>
      <c r="E88" s="1689">
        <v>1070.92</v>
      </c>
    </row>
    <row r="89" spans="2:9" ht="15.2" customHeight="1">
      <c r="B89">
        <v>3</v>
      </c>
      <c r="C89" s="1965" t="s">
        <v>3646</v>
      </c>
      <c r="D89" s="2362">
        <v>29</v>
      </c>
      <c r="E89" s="1689">
        <v>948.3</v>
      </c>
    </row>
    <row r="90" spans="2:9" ht="15.2" customHeight="1">
      <c r="B90">
        <v>4</v>
      </c>
      <c r="C90" s="1965" t="s">
        <v>615</v>
      </c>
      <c r="D90" s="2362">
        <v>24.43</v>
      </c>
      <c r="E90" s="1689">
        <v>798.86</v>
      </c>
    </row>
    <row r="91" spans="2:9" ht="15.2" customHeight="1">
      <c r="B91">
        <v>5</v>
      </c>
      <c r="C91" s="1965" t="s">
        <v>3949</v>
      </c>
      <c r="D91" s="2362">
        <v>0</v>
      </c>
      <c r="E91" s="1689">
        <v>0</v>
      </c>
    </row>
    <row r="92" spans="2:9" ht="15.2" customHeight="1">
      <c r="B92">
        <v>6</v>
      </c>
      <c r="C92" s="1098"/>
      <c r="D92" s="1689"/>
      <c r="E92" s="1689"/>
    </row>
    <row r="93" spans="2:9" ht="15.2" customHeight="1">
      <c r="B93">
        <v>7</v>
      </c>
    </row>
  </sheetData>
  <sortState ref="C67:G72">
    <sortCondition descending="1" ref="F67:F72"/>
  </sortState>
  <mergeCells count="3">
    <mergeCell ref="I14:I16"/>
    <mergeCell ref="I27:I29"/>
    <mergeCell ref="I40:I42"/>
  </mergeCells>
  <phoneticPr fontId="230" type="noConversion"/>
  <conditionalFormatting sqref="E77">
    <cfRule type="cellIs" dxfId="24" priority="1" stopIfTrue="1" operator="greaterThanOrEqual">
      <formula>$J$112</formula>
    </cfRule>
  </conditionalFormatting>
  <conditionalFormatting sqref="C65:C74 C76:C78 D78:G78 J78 H81:I81">
    <cfRule type="cellIs" dxfId="23" priority="2" stopIfTrue="1" operator="lessThan">
      <formula>$C$111</formula>
    </cfRule>
  </conditionalFormatting>
  <hyperlinks>
    <hyperlink ref="I13" r:id="rId1"/>
    <hyperlink ref="I26" r:id="rId2"/>
    <hyperlink ref="I39" r:id="rId3"/>
  </hyperlinks>
  <printOptions horizontalCentered="1"/>
  <pageMargins left="0.75" right="0.75" top="1.2204724409448819" bottom="1" header="0" footer="0"/>
  <pageSetup paperSize="9" scale="105" orientation="portrait" horizontalDpi="120" verticalDpi="72" r:id="rId4"/>
  <headerFooter alignWithMargins="0"/>
</worksheet>
</file>

<file path=xl/worksheets/sheet20.xml><?xml version="1.0" encoding="utf-8"?>
<worksheet xmlns="http://schemas.openxmlformats.org/spreadsheetml/2006/main" xmlns:r="http://schemas.openxmlformats.org/officeDocument/2006/relationships">
  <sheetPr codeName="Hoja19">
    <pageSetUpPr fitToPage="1"/>
  </sheetPr>
  <dimension ref="B2:I55"/>
  <sheetViews>
    <sheetView workbookViewId="0"/>
  </sheetViews>
  <sheetFormatPr baseColWidth="10" defaultRowHeight="15"/>
  <cols>
    <col min="1" max="1" width="5.7109375" customWidth="1"/>
    <col min="2" max="2" width="6.42578125" customWidth="1"/>
    <col min="3" max="3" width="13.7109375" customWidth="1"/>
    <col min="4" max="4" width="25.7109375" style="96" customWidth="1"/>
    <col min="5" max="5" width="22.5703125" customWidth="1"/>
    <col min="6" max="8" width="25.7109375" style="97" customWidth="1"/>
    <col min="9" max="9" width="35.7109375" style="686" customWidth="1"/>
  </cols>
  <sheetData>
    <row r="2" spans="2:9" ht="15.75">
      <c r="C2" s="684" t="s">
        <v>1622</v>
      </c>
      <c r="E2" s="441"/>
      <c r="F2" s="685"/>
      <c r="G2" s="685"/>
      <c r="I2" s="752">
        <v>39813</v>
      </c>
    </row>
    <row r="3" spans="2:9" ht="5.45" customHeight="1" thickBot="1"/>
    <row r="4" spans="2:9" ht="15.2" customHeight="1">
      <c r="B4" s="687" t="s">
        <v>4897</v>
      </c>
      <c r="C4" s="753" t="s">
        <v>847</v>
      </c>
      <c r="D4" s="688" t="s">
        <v>845</v>
      </c>
      <c r="E4" s="689" t="s">
        <v>2908</v>
      </c>
      <c r="F4" s="690" t="s">
        <v>2909</v>
      </c>
      <c r="G4" s="691" t="s">
        <v>2910</v>
      </c>
      <c r="H4" s="690" t="s">
        <v>1649</v>
      </c>
      <c r="I4" s="692" t="s">
        <v>2210</v>
      </c>
    </row>
    <row r="5" spans="2:9" ht="15.2" customHeight="1" thickBot="1">
      <c r="B5" s="693"/>
      <c r="C5" s="754" t="s">
        <v>846</v>
      </c>
      <c r="D5" s="694" t="s">
        <v>114</v>
      </c>
      <c r="E5" s="695" t="s">
        <v>2211</v>
      </c>
      <c r="F5" s="696" t="s">
        <v>4547</v>
      </c>
      <c r="G5" s="696" t="s">
        <v>4547</v>
      </c>
      <c r="H5" s="696" t="s">
        <v>4547</v>
      </c>
      <c r="I5" s="697" t="s">
        <v>4548</v>
      </c>
    </row>
    <row r="6" spans="2:9">
      <c r="B6" s="3950">
        <v>1</v>
      </c>
      <c r="C6" s="3951">
        <v>169</v>
      </c>
      <c r="D6" s="698" t="s">
        <v>903</v>
      </c>
      <c r="E6" s="699">
        <v>9.82</v>
      </c>
      <c r="F6" s="700" t="s">
        <v>4549</v>
      </c>
      <c r="G6" s="447" t="s">
        <v>4550</v>
      </c>
      <c r="H6" s="700" t="s">
        <v>4551</v>
      </c>
      <c r="I6" s="701" t="s">
        <v>4552</v>
      </c>
    </row>
    <row r="7" spans="2:9" ht="15.75">
      <c r="B7" s="3947"/>
      <c r="C7" s="3944"/>
      <c r="D7" s="702">
        <v>169</v>
      </c>
      <c r="E7" s="703" t="s">
        <v>1892</v>
      </c>
      <c r="F7" s="704" t="s">
        <v>1893</v>
      </c>
      <c r="G7" s="705" t="s">
        <v>3419</v>
      </c>
      <c r="H7" s="704" t="s">
        <v>3420</v>
      </c>
      <c r="I7" s="706" t="s">
        <v>2650</v>
      </c>
    </row>
    <row r="8" spans="2:9">
      <c r="B8" s="3945">
        <v>2</v>
      </c>
      <c r="C8" s="3942">
        <v>170</v>
      </c>
      <c r="D8" s="698" t="s">
        <v>904</v>
      </c>
      <c r="E8" s="699">
        <v>10.14</v>
      </c>
      <c r="F8" s="700" t="s">
        <v>330</v>
      </c>
      <c r="G8" s="707" t="s">
        <v>4730</v>
      </c>
      <c r="H8" s="700" t="s">
        <v>4551</v>
      </c>
      <c r="I8" s="708" t="s">
        <v>965</v>
      </c>
    </row>
    <row r="9" spans="2:9" ht="15.75">
      <c r="B9" s="3947"/>
      <c r="C9" s="3944"/>
      <c r="D9" s="709">
        <v>170</v>
      </c>
      <c r="E9" s="699" t="s">
        <v>4963</v>
      </c>
      <c r="F9" s="710" t="s">
        <v>4964</v>
      </c>
      <c r="G9" s="711" t="s">
        <v>4965</v>
      </c>
      <c r="H9" s="704" t="s">
        <v>3420</v>
      </c>
      <c r="I9" s="706" t="s">
        <v>4720</v>
      </c>
    </row>
    <row r="10" spans="2:9">
      <c r="B10" s="3945">
        <v>3</v>
      </c>
      <c r="C10" s="3942">
        <v>161</v>
      </c>
      <c r="D10" s="712" t="s">
        <v>1117</v>
      </c>
      <c r="E10" s="713">
        <v>8.85</v>
      </c>
      <c r="F10" s="714" t="s">
        <v>2684</v>
      </c>
      <c r="G10" s="715" t="s">
        <v>2685</v>
      </c>
      <c r="H10" s="714"/>
      <c r="I10" s="708" t="s">
        <v>2894</v>
      </c>
    </row>
    <row r="11" spans="2:9" ht="15.75">
      <c r="B11" s="3947"/>
      <c r="C11" s="3944"/>
      <c r="D11" s="702">
        <v>161</v>
      </c>
      <c r="E11" s="703" t="s">
        <v>2838</v>
      </c>
      <c r="F11" s="704" t="s">
        <v>4964</v>
      </c>
      <c r="G11" s="705" t="s">
        <v>2839</v>
      </c>
      <c r="H11" s="704" t="s">
        <v>2840</v>
      </c>
      <c r="I11" s="706" t="s">
        <v>1323</v>
      </c>
    </row>
    <row r="12" spans="2:9">
      <c r="B12" s="3945">
        <v>4</v>
      </c>
      <c r="C12" s="3942">
        <v>163</v>
      </c>
      <c r="D12" s="698" t="s">
        <v>4655</v>
      </c>
      <c r="E12" s="699">
        <v>9.9600000000000009</v>
      </c>
      <c r="F12" s="700" t="s">
        <v>2430</v>
      </c>
      <c r="G12" s="707" t="s">
        <v>4095</v>
      </c>
      <c r="H12" s="700" t="s">
        <v>4551</v>
      </c>
      <c r="I12" s="708" t="s">
        <v>219</v>
      </c>
    </row>
    <row r="13" spans="2:9" ht="15.75">
      <c r="B13" s="3946"/>
      <c r="C13" s="3943"/>
      <c r="D13" s="709">
        <v>163</v>
      </c>
      <c r="E13" s="699" t="s">
        <v>3610</v>
      </c>
      <c r="F13" s="710" t="s">
        <v>3611</v>
      </c>
      <c r="G13" s="711" t="s">
        <v>2651</v>
      </c>
      <c r="H13" s="710" t="s">
        <v>3420</v>
      </c>
      <c r="I13" s="716" t="s">
        <v>914</v>
      </c>
    </row>
    <row r="14" spans="2:9">
      <c r="B14" s="3947"/>
      <c r="C14" s="3944"/>
      <c r="D14" s="717" t="s">
        <v>3044</v>
      </c>
      <c r="E14" s="93"/>
      <c r="F14" s="447"/>
      <c r="G14" s="447"/>
      <c r="H14" s="447"/>
      <c r="I14" s="701"/>
    </row>
    <row r="15" spans="2:9">
      <c r="B15" s="3945">
        <v>5</v>
      </c>
      <c r="C15" s="3942">
        <v>159</v>
      </c>
      <c r="D15" s="718" t="s">
        <v>1115</v>
      </c>
      <c r="E15" s="719">
        <v>9.58</v>
      </c>
      <c r="F15" s="715" t="s">
        <v>4425</v>
      </c>
      <c r="G15" s="714" t="s">
        <v>2653</v>
      </c>
      <c r="H15" s="714" t="s">
        <v>2654</v>
      </c>
      <c r="I15" s="708" t="s">
        <v>2655</v>
      </c>
    </row>
    <row r="16" spans="2:9" ht="15.75">
      <c r="B16" s="3946"/>
      <c r="C16" s="3943"/>
      <c r="D16" s="720">
        <v>159</v>
      </c>
      <c r="E16" s="721" t="s">
        <v>2656</v>
      </c>
      <c r="F16" s="447" t="s">
        <v>2534</v>
      </c>
      <c r="G16" s="700" t="s">
        <v>2535</v>
      </c>
      <c r="H16" s="700" t="s">
        <v>2536</v>
      </c>
      <c r="I16" s="716" t="s">
        <v>859</v>
      </c>
    </row>
    <row r="17" spans="2:9">
      <c r="B17" s="3947"/>
      <c r="C17" s="3944"/>
      <c r="D17" s="722" t="s">
        <v>2432</v>
      </c>
      <c r="E17" s="204"/>
      <c r="F17" s="723"/>
      <c r="G17" s="723"/>
      <c r="H17" s="724"/>
      <c r="I17" s="706"/>
    </row>
    <row r="18" spans="2:9">
      <c r="B18" s="3945">
        <v>6</v>
      </c>
      <c r="C18" s="3942">
        <v>158</v>
      </c>
      <c r="D18" s="698" t="s">
        <v>132</v>
      </c>
      <c r="E18" s="725">
        <v>9.99</v>
      </c>
      <c r="F18" s="700" t="s">
        <v>1151</v>
      </c>
      <c r="G18" s="707" t="s">
        <v>2499</v>
      </c>
      <c r="H18" s="700" t="s">
        <v>4551</v>
      </c>
      <c r="I18" s="708" t="s">
        <v>4048</v>
      </c>
    </row>
    <row r="19" spans="2:9" ht="15.75">
      <c r="B19" s="3947"/>
      <c r="C19" s="3944"/>
      <c r="D19" s="709">
        <v>158</v>
      </c>
      <c r="E19" s="726"/>
      <c r="F19" s="710" t="s">
        <v>2534</v>
      </c>
      <c r="G19" s="711" t="s">
        <v>2535</v>
      </c>
      <c r="H19" s="710" t="s">
        <v>3420</v>
      </c>
      <c r="I19" s="706">
        <v>11562143</v>
      </c>
    </row>
    <row r="20" spans="2:9">
      <c r="B20" s="3945">
        <v>7</v>
      </c>
      <c r="C20" s="3942">
        <v>152</v>
      </c>
      <c r="D20" s="712" t="s">
        <v>816</v>
      </c>
      <c r="E20" s="713">
        <v>9.56</v>
      </c>
      <c r="F20" s="714" t="s">
        <v>2373</v>
      </c>
      <c r="G20" s="715" t="s">
        <v>2374</v>
      </c>
      <c r="H20" s="714" t="s">
        <v>4551</v>
      </c>
      <c r="I20" s="708" t="s">
        <v>4273</v>
      </c>
    </row>
    <row r="21" spans="2:9" ht="15.75">
      <c r="B21" s="3947"/>
      <c r="C21" s="3944"/>
      <c r="D21" s="702">
        <v>152</v>
      </c>
      <c r="E21" s="703" t="s">
        <v>274</v>
      </c>
      <c r="F21" s="704" t="s">
        <v>275</v>
      </c>
      <c r="G21" s="705" t="s">
        <v>4634</v>
      </c>
      <c r="H21" s="704" t="s">
        <v>3420</v>
      </c>
      <c r="I21" s="706">
        <v>11551643</v>
      </c>
    </row>
    <row r="22" spans="2:9">
      <c r="B22" s="3945">
        <v>8</v>
      </c>
      <c r="C22" s="3942">
        <v>156</v>
      </c>
      <c r="D22" s="698" t="s">
        <v>130</v>
      </c>
      <c r="E22" s="699">
        <v>10.18</v>
      </c>
      <c r="F22" s="700" t="s">
        <v>4635</v>
      </c>
      <c r="G22" s="707" t="s">
        <v>4636</v>
      </c>
      <c r="H22" s="714" t="s">
        <v>4551</v>
      </c>
      <c r="I22" s="708" t="s">
        <v>3896</v>
      </c>
    </row>
    <row r="23" spans="2:9" ht="15.75">
      <c r="B23" s="3947"/>
      <c r="C23" s="3944"/>
      <c r="D23" s="709">
        <v>156</v>
      </c>
      <c r="E23" s="703" t="s">
        <v>3897</v>
      </c>
      <c r="F23" s="710" t="s">
        <v>2534</v>
      </c>
      <c r="G23" s="711" t="s">
        <v>3898</v>
      </c>
      <c r="H23" s="704" t="s">
        <v>3420</v>
      </c>
      <c r="I23" s="706" t="s">
        <v>4756</v>
      </c>
    </row>
    <row r="24" spans="2:9">
      <c r="B24" s="3945">
        <v>9</v>
      </c>
      <c r="C24" s="3942">
        <v>154</v>
      </c>
      <c r="D24" s="712" t="s">
        <v>1555</v>
      </c>
      <c r="E24" s="713">
        <v>9.7100000000000009</v>
      </c>
      <c r="F24" s="714" t="s">
        <v>4079</v>
      </c>
      <c r="G24" s="715" t="s">
        <v>4933</v>
      </c>
      <c r="H24" s="714" t="s">
        <v>2218</v>
      </c>
      <c r="I24" s="708" t="s">
        <v>2204</v>
      </c>
    </row>
    <row r="25" spans="2:9" ht="15.75">
      <c r="B25" s="3946"/>
      <c r="C25" s="3943"/>
      <c r="D25" s="709">
        <v>154</v>
      </c>
      <c r="E25" s="699" t="s">
        <v>2205</v>
      </c>
      <c r="F25" s="710" t="s">
        <v>5015</v>
      </c>
      <c r="G25" s="711" t="s">
        <v>5016</v>
      </c>
      <c r="H25" s="710" t="s">
        <v>582</v>
      </c>
      <c r="I25" s="701">
        <v>10716832</v>
      </c>
    </row>
    <row r="26" spans="2:9" ht="12.75">
      <c r="B26" s="3947"/>
      <c r="C26" s="3944"/>
      <c r="D26" s="755" t="s">
        <v>2571</v>
      </c>
      <c r="E26" s="204"/>
      <c r="F26" s="723"/>
      <c r="G26" s="723"/>
      <c r="H26" s="723"/>
      <c r="I26" s="756"/>
    </row>
    <row r="27" spans="2:9">
      <c r="B27" s="3945">
        <v>10</v>
      </c>
      <c r="C27" s="3942">
        <v>151</v>
      </c>
      <c r="D27" s="698" t="s">
        <v>815</v>
      </c>
      <c r="E27" s="699">
        <v>9.6999999999999993</v>
      </c>
      <c r="F27" s="700" t="s">
        <v>3525</v>
      </c>
      <c r="G27" s="707" t="s">
        <v>3415</v>
      </c>
      <c r="H27" s="727" t="s">
        <v>3416</v>
      </c>
      <c r="I27" s="701" t="s">
        <v>2391</v>
      </c>
    </row>
    <row r="28" spans="2:9" ht="15.75">
      <c r="B28" s="3947"/>
      <c r="C28" s="3944"/>
      <c r="D28" s="728">
        <v>151</v>
      </c>
      <c r="E28" s="699" t="s">
        <v>2703</v>
      </c>
      <c r="F28" s="710" t="s">
        <v>604</v>
      </c>
      <c r="G28" s="711" t="s">
        <v>623</v>
      </c>
      <c r="H28" s="710" t="s">
        <v>624</v>
      </c>
      <c r="I28" s="706" t="s">
        <v>4576</v>
      </c>
    </row>
    <row r="29" spans="2:9">
      <c r="B29" s="3945">
        <v>11</v>
      </c>
      <c r="C29" s="3942">
        <v>162</v>
      </c>
      <c r="D29" s="712" t="s">
        <v>4654</v>
      </c>
      <c r="E29" s="713">
        <v>9.99</v>
      </c>
      <c r="F29" s="714" t="s">
        <v>3091</v>
      </c>
      <c r="G29" s="715" t="s">
        <v>3092</v>
      </c>
      <c r="H29" s="714"/>
      <c r="I29" s="708" t="s">
        <v>2751</v>
      </c>
    </row>
    <row r="30" spans="2:9" ht="15.75">
      <c r="B30" s="3946"/>
      <c r="C30" s="3943"/>
      <c r="D30" s="709">
        <v>162</v>
      </c>
      <c r="E30" s="721" t="s">
        <v>2752</v>
      </c>
      <c r="F30" s="710" t="s">
        <v>3879</v>
      </c>
      <c r="G30" s="710" t="s">
        <v>4276</v>
      </c>
      <c r="H30" s="710" t="s">
        <v>6</v>
      </c>
      <c r="I30" s="716" t="s">
        <v>564</v>
      </c>
    </row>
    <row r="31" spans="2:9">
      <c r="B31" s="3947"/>
      <c r="C31" s="3944"/>
      <c r="D31" s="729" t="s">
        <v>2977</v>
      </c>
      <c r="E31" s="204"/>
      <c r="F31" s="723"/>
      <c r="G31" s="723"/>
      <c r="H31" s="724"/>
      <c r="I31" s="706"/>
    </row>
    <row r="32" spans="2:9">
      <c r="B32" s="3945">
        <v>12</v>
      </c>
      <c r="C32" s="3942">
        <v>165</v>
      </c>
      <c r="D32" s="698" t="s">
        <v>4657</v>
      </c>
      <c r="E32" s="699">
        <v>10.039999999999999</v>
      </c>
      <c r="F32" s="700" t="s">
        <v>2978</v>
      </c>
      <c r="G32" s="707" t="s">
        <v>2979</v>
      </c>
      <c r="H32" s="700"/>
      <c r="I32" s="701" t="s">
        <v>4764</v>
      </c>
    </row>
    <row r="33" spans="2:9" ht="15.75">
      <c r="B33" s="3947"/>
      <c r="C33" s="3944"/>
      <c r="D33" s="709">
        <v>165</v>
      </c>
      <c r="E33" s="699" t="s">
        <v>3782</v>
      </c>
      <c r="F33" s="710" t="s">
        <v>4964</v>
      </c>
      <c r="G33" s="711" t="s">
        <v>2467</v>
      </c>
      <c r="H33" s="710" t="s">
        <v>624</v>
      </c>
      <c r="I33" s="706" t="s">
        <v>2468</v>
      </c>
    </row>
    <row r="34" spans="2:9">
      <c r="B34" s="3945">
        <v>13</v>
      </c>
      <c r="C34" s="3942">
        <v>166</v>
      </c>
      <c r="D34" s="712" t="s">
        <v>900</v>
      </c>
      <c r="E34" s="713">
        <v>9.9600000000000009</v>
      </c>
      <c r="F34" s="714" t="s">
        <v>2065</v>
      </c>
      <c r="G34" s="715" t="s">
        <v>2979</v>
      </c>
      <c r="H34" s="714" t="s">
        <v>4551</v>
      </c>
      <c r="I34" s="708" t="s">
        <v>2679</v>
      </c>
    </row>
    <row r="35" spans="2:9" ht="15.75">
      <c r="B35" s="3947"/>
      <c r="C35" s="3944"/>
      <c r="D35" s="702">
        <v>166</v>
      </c>
      <c r="E35" s="703" t="s">
        <v>2096</v>
      </c>
      <c r="F35" s="704" t="s">
        <v>2097</v>
      </c>
      <c r="G35" s="705" t="s">
        <v>3419</v>
      </c>
      <c r="H35" s="704" t="s">
        <v>3420</v>
      </c>
      <c r="I35" s="706" t="s">
        <v>2098</v>
      </c>
    </row>
    <row r="36" spans="2:9">
      <c r="B36" s="3945">
        <v>14</v>
      </c>
      <c r="C36" s="3942">
        <v>167</v>
      </c>
      <c r="D36" s="712" t="s">
        <v>901</v>
      </c>
      <c r="E36" s="713">
        <v>9.9600000000000009</v>
      </c>
      <c r="F36" s="714" t="s">
        <v>2099</v>
      </c>
      <c r="G36" s="730" t="s">
        <v>880</v>
      </c>
      <c r="H36" s="714"/>
      <c r="I36" s="708" t="s">
        <v>1391</v>
      </c>
    </row>
    <row r="37" spans="2:9" ht="15.75">
      <c r="B37" s="3947"/>
      <c r="C37" s="3944"/>
      <c r="D37" s="702">
        <v>167</v>
      </c>
      <c r="E37" s="703" t="s">
        <v>4680</v>
      </c>
      <c r="F37" s="704" t="s">
        <v>29</v>
      </c>
      <c r="G37" s="731" t="s">
        <v>30</v>
      </c>
      <c r="H37" s="704" t="s">
        <v>624</v>
      </c>
      <c r="I37" s="706">
        <v>11382332</v>
      </c>
    </row>
    <row r="38" spans="2:9">
      <c r="B38" s="3945">
        <v>15</v>
      </c>
      <c r="C38" s="3942">
        <v>157</v>
      </c>
      <c r="D38" s="718" t="s">
        <v>131</v>
      </c>
      <c r="E38" s="719">
        <v>9.89</v>
      </c>
      <c r="F38" s="715" t="s">
        <v>4356</v>
      </c>
      <c r="G38" s="714" t="s">
        <v>4357</v>
      </c>
      <c r="H38" s="732"/>
      <c r="I38" s="708" t="s">
        <v>16</v>
      </c>
    </row>
    <row r="39" spans="2:9" ht="15.75">
      <c r="B39" s="3946"/>
      <c r="C39" s="3943"/>
      <c r="D39" s="720">
        <v>157</v>
      </c>
      <c r="E39" s="721" t="s">
        <v>17</v>
      </c>
      <c r="F39" s="733" t="s">
        <v>2534</v>
      </c>
      <c r="G39" s="734" t="s">
        <v>4669</v>
      </c>
      <c r="H39" s="735" t="s">
        <v>624</v>
      </c>
      <c r="I39" s="701">
        <v>10709591</v>
      </c>
    </row>
    <row r="40" spans="2:9">
      <c r="B40" s="3947"/>
      <c r="C40" s="3944"/>
      <c r="D40" s="722" t="s">
        <v>2555</v>
      </c>
      <c r="E40" s="204"/>
      <c r="F40" s="723"/>
      <c r="G40" s="723"/>
      <c r="H40" s="724"/>
      <c r="I40" s="706"/>
    </row>
    <row r="41" spans="2:9">
      <c r="B41" s="3945">
        <v>16</v>
      </c>
      <c r="C41" s="3942">
        <v>160</v>
      </c>
      <c r="D41" s="698" t="s">
        <v>1116</v>
      </c>
      <c r="E41" s="699">
        <v>9.9600000000000009</v>
      </c>
      <c r="F41" s="700" t="s">
        <v>3877</v>
      </c>
      <c r="G41" s="707" t="s">
        <v>3566</v>
      </c>
      <c r="H41" s="700"/>
      <c r="I41" s="708" t="s">
        <v>4171</v>
      </c>
    </row>
    <row r="42" spans="2:9" ht="15.75">
      <c r="B42" s="3947"/>
      <c r="C42" s="3944"/>
      <c r="D42" s="709">
        <v>160</v>
      </c>
      <c r="E42" s="699" t="s">
        <v>2458</v>
      </c>
      <c r="F42" s="710" t="s">
        <v>2459</v>
      </c>
      <c r="G42" s="711" t="s">
        <v>370</v>
      </c>
      <c r="H42" s="710" t="s">
        <v>582</v>
      </c>
      <c r="I42" s="706" t="s">
        <v>3487</v>
      </c>
    </row>
    <row r="43" spans="2:9">
      <c r="B43" s="3945">
        <v>17</v>
      </c>
      <c r="C43" s="3942">
        <v>168</v>
      </c>
      <c r="D43" s="712" t="s">
        <v>4482</v>
      </c>
      <c r="E43" s="713">
        <v>9.6999999999999993</v>
      </c>
      <c r="F43" s="714"/>
      <c r="G43" s="715"/>
      <c r="H43" s="736" t="s">
        <v>1411</v>
      </c>
      <c r="I43" s="708" t="s">
        <v>1970</v>
      </c>
    </row>
    <row r="44" spans="2:9" ht="15.75">
      <c r="B44" s="3947"/>
      <c r="C44" s="3944"/>
      <c r="D44" s="737">
        <v>168</v>
      </c>
      <c r="E44" s="703" t="s">
        <v>599</v>
      </c>
      <c r="F44" s="738" t="s">
        <v>3470</v>
      </c>
      <c r="G44" s="739" t="s">
        <v>30</v>
      </c>
      <c r="H44" s="738" t="s">
        <v>6</v>
      </c>
      <c r="I44" s="706">
        <v>11353830</v>
      </c>
    </row>
    <row r="45" spans="2:9">
      <c r="B45" s="3945">
        <v>18</v>
      </c>
      <c r="C45" s="3942">
        <v>164</v>
      </c>
      <c r="D45" s="698" t="s">
        <v>4656</v>
      </c>
      <c r="E45" s="699">
        <v>10.35</v>
      </c>
      <c r="F45" s="700" t="s">
        <v>2202</v>
      </c>
      <c r="G45" s="707" t="s">
        <v>2203</v>
      </c>
      <c r="H45" s="700"/>
      <c r="I45" s="708" t="s">
        <v>2539</v>
      </c>
    </row>
    <row r="46" spans="2:9" ht="15.75">
      <c r="B46" s="3947"/>
      <c r="C46" s="3944"/>
      <c r="D46" s="709">
        <v>164</v>
      </c>
      <c r="E46" s="703" t="s">
        <v>2540</v>
      </c>
      <c r="F46" s="704">
        <v>9.08</v>
      </c>
      <c r="G46" s="705">
        <v>3.26</v>
      </c>
      <c r="H46" s="704" t="s">
        <v>624</v>
      </c>
      <c r="I46" s="706" t="s">
        <v>2882</v>
      </c>
    </row>
    <row r="47" spans="2:9">
      <c r="B47" s="3945">
        <v>19</v>
      </c>
      <c r="C47" s="3942">
        <v>153</v>
      </c>
      <c r="D47" s="712" t="s">
        <v>2837</v>
      </c>
      <c r="E47" s="713">
        <v>9.84</v>
      </c>
      <c r="F47" s="714" t="s">
        <v>2883</v>
      </c>
      <c r="G47" s="715" t="s">
        <v>2884</v>
      </c>
      <c r="H47" s="714"/>
      <c r="I47" s="708" t="s">
        <v>2885</v>
      </c>
    </row>
    <row r="48" spans="2:9" ht="15.75">
      <c r="B48" s="3947"/>
      <c r="C48" s="3944"/>
      <c r="D48" s="702">
        <v>153</v>
      </c>
      <c r="E48" s="740" t="s">
        <v>2886</v>
      </c>
      <c r="F48" s="704" t="s">
        <v>275</v>
      </c>
      <c r="G48" s="705" t="s">
        <v>2887</v>
      </c>
      <c r="H48" s="704" t="s">
        <v>6</v>
      </c>
      <c r="I48" s="706" t="s">
        <v>751</v>
      </c>
    </row>
    <row r="49" spans="2:9">
      <c r="B49" s="3945">
        <v>20</v>
      </c>
      <c r="C49" s="3942">
        <v>155</v>
      </c>
      <c r="D49" s="712" t="s">
        <v>129</v>
      </c>
      <c r="E49" s="713">
        <v>9.7100000000000009</v>
      </c>
      <c r="F49" s="714" t="s">
        <v>3253</v>
      </c>
      <c r="G49" s="715"/>
      <c r="H49" s="741" t="s">
        <v>3254</v>
      </c>
      <c r="I49" s="708" t="s">
        <v>3012</v>
      </c>
    </row>
    <row r="50" spans="2:9" ht="16.5" thickBot="1">
      <c r="B50" s="3948"/>
      <c r="C50" s="3949"/>
      <c r="D50" s="742">
        <v>155</v>
      </c>
      <c r="E50" s="743" t="s">
        <v>1426</v>
      </c>
      <c r="F50" s="744" t="s">
        <v>3810</v>
      </c>
      <c r="G50" s="745" t="s">
        <v>3811</v>
      </c>
      <c r="H50" s="744" t="s">
        <v>3420</v>
      </c>
      <c r="I50" s="746" t="s">
        <v>4562</v>
      </c>
    </row>
    <row r="51" spans="2:9" ht="5.45" customHeight="1"/>
    <row r="52" spans="2:9">
      <c r="D52" s="747" t="s">
        <v>3500</v>
      </c>
      <c r="E52" s="748"/>
      <c r="F52" s="749"/>
      <c r="G52" s="749"/>
      <c r="H52" s="749"/>
    </row>
    <row r="53" spans="2:9" ht="14.25">
      <c r="D53" s="750" t="s">
        <v>4846</v>
      </c>
      <c r="E53" s="748"/>
      <c r="F53" s="751" t="s">
        <v>4847</v>
      </c>
      <c r="G53" s="747" t="s">
        <v>631</v>
      </c>
      <c r="H53" s="748"/>
      <c r="I53" s="749"/>
    </row>
    <row r="54" spans="2:9" ht="14.25">
      <c r="D54" s="96" t="s">
        <v>3994</v>
      </c>
      <c r="G54" s="747" t="s">
        <v>4828</v>
      </c>
      <c r="H54" s="748"/>
      <c r="I54" s="749"/>
    </row>
    <row r="55" spans="2:9" ht="14.25">
      <c r="G55" s="747" t="s">
        <v>840</v>
      </c>
      <c r="H55"/>
      <c r="I55" s="97"/>
    </row>
  </sheetData>
  <mergeCells count="40">
    <mergeCell ref="B6:B7"/>
    <mergeCell ref="B8:B9"/>
    <mergeCell ref="B10:B11"/>
    <mergeCell ref="B12:B14"/>
    <mergeCell ref="C6:C7"/>
    <mergeCell ref="C8:C9"/>
    <mergeCell ref="C10:C11"/>
    <mergeCell ref="C12:C14"/>
    <mergeCell ref="C47:C48"/>
    <mergeCell ref="C49:C50"/>
    <mergeCell ref="C34:C35"/>
    <mergeCell ref="C36:C37"/>
    <mergeCell ref="C38:C40"/>
    <mergeCell ref="C41:C42"/>
    <mergeCell ref="C43:C44"/>
    <mergeCell ref="C45:C46"/>
    <mergeCell ref="B15:B17"/>
    <mergeCell ref="B18:B19"/>
    <mergeCell ref="C20:C21"/>
    <mergeCell ref="C22:C23"/>
    <mergeCell ref="B20:B21"/>
    <mergeCell ref="B22:B23"/>
    <mergeCell ref="C15:C17"/>
    <mergeCell ref="C18:C19"/>
    <mergeCell ref="B47:B48"/>
    <mergeCell ref="B49:B50"/>
    <mergeCell ref="B34:B35"/>
    <mergeCell ref="B36:B37"/>
    <mergeCell ref="B38:B40"/>
    <mergeCell ref="B41:B42"/>
    <mergeCell ref="B43:B44"/>
    <mergeCell ref="B45:B46"/>
    <mergeCell ref="C29:C31"/>
    <mergeCell ref="C32:C33"/>
    <mergeCell ref="B24:B26"/>
    <mergeCell ref="B27:B28"/>
    <mergeCell ref="B29:B31"/>
    <mergeCell ref="B32:B33"/>
    <mergeCell ref="C24:C26"/>
    <mergeCell ref="C27:C28"/>
  </mergeCells>
  <phoneticPr fontId="0" type="noConversion"/>
  <printOptions horizontalCentered="1"/>
  <pageMargins left="0.75" right="0.75" top="0.22" bottom="1" header="0" footer="0"/>
  <pageSetup paperSize="9" scale="64" orientation="landscape" horizontalDpi="4294967293" verticalDpi="300" r:id="rId1"/>
  <headerFooter alignWithMargins="0"/>
</worksheet>
</file>

<file path=xl/worksheets/sheet21.xml><?xml version="1.0" encoding="utf-8"?>
<worksheet xmlns="http://schemas.openxmlformats.org/spreadsheetml/2006/main" xmlns:r="http://schemas.openxmlformats.org/officeDocument/2006/relationships">
  <sheetPr codeName="Hoja20"/>
  <dimension ref="B1:P105"/>
  <sheetViews>
    <sheetView workbookViewId="0"/>
  </sheetViews>
  <sheetFormatPr baseColWidth="10" defaultRowHeight="12.75"/>
  <cols>
    <col min="1" max="1" width="5.7109375" customWidth="1"/>
    <col min="2" max="2" width="14.28515625" customWidth="1"/>
    <col min="3" max="3" width="6.5703125" bestFit="1" customWidth="1"/>
    <col min="4" max="4" width="5.42578125" customWidth="1"/>
    <col min="7" max="7" width="17.28515625" customWidth="1"/>
    <col min="8" max="8" width="21.5703125" customWidth="1"/>
    <col min="13" max="13" width="4.85546875" customWidth="1"/>
    <col min="14" max="14" width="6" customWidth="1"/>
  </cols>
  <sheetData>
    <row r="1" spans="2:15">
      <c r="D1" s="451"/>
      <c r="E1" s="451"/>
      <c r="F1" s="3955" t="s">
        <v>4403</v>
      </c>
      <c r="G1" s="3955"/>
      <c r="H1" s="3955"/>
      <c r="I1" s="3955"/>
      <c r="J1" s="3955"/>
      <c r="K1" s="3955"/>
    </row>
    <row r="2" spans="2:15">
      <c r="D2" s="451"/>
      <c r="E2" s="451"/>
      <c r="F2" s="451"/>
      <c r="G2" s="3956" t="s">
        <v>4885</v>
      </c>
      <c r="H2" s="3956"/>
      <c r="I2" s="3956"/>
      <c r="J2" s="3956"/>
      <c r="K2" s="3956"/>
      <c r="L2" s="3956"/>
    </row>
    <row r="3" spans="2:15" ht="12.95" customHeight="1">
      <c r="B3" s="3952">
        <f ca="1">TODAY()</f>
        <v>43895</v>
      </c>
      <c r="D3" s="3954" t="s">
        <v>1108</v>
      </c>
      <c r="E3" s="3954"/>
      <c r="F3" s="3954"/>
      <c r="G3" s="3953" t="s">
        <v>4341</v>
      </c>
      <c r="H3" s="3953"/>
      <c r="I3" s="3953"/>
      <c r="J3" s="3953"/>
      <c r="K3" s="3953"/>
      <c r="L3" s="3953"/>
    </row>
    <row r="4" spans="2:15" ht="12.95" customHeight="1">
      <c r="B4" s="3952"/>
      <c r="D4" s="3954" t="s">
        <v>4493</v>
      </c>
      <c r="E4" s="3954"/>
      <c r="F4" s="3954"/>
      <c r="G4" s="3953" t="s">
        <v>1676</v>
      </c>
      <c r="H4" s="3953"/>
      <c r="I4" s="3953"/>
      <c r="J4" s="3953"/>
      <c r="K4" s="3953"/>
      <c r="L4" s="3953"/>
    </row>
    <row r="5" spans="2:15" ht="12.95" customHeight="1">
      <c r="B5" s="3952"/>
      <c r="D5" s="3954" t="s">
        <v>1677</v>
      </c>
      <c r="E5" s="3954"/>
      <c r="F5" s="3954"/>
      <c r="G5" s="3953" t="s">
        <v>4866</v>
      </c>
      <c r="H5" s="3953"/>
      <c r="I5" s="3953"/>
      <c r="J5" s="3953"/>
      <c r="K5" s="3953"/>
      <c r="L5" s="3953"/>
    </row>
    <row r="6" spans="2:15">
      <c r="D6" s="3954" t="s">
        <v>2262</v>
      </c>
      <c r="E6" s="3954"/>
      <c r="F6" s="3954"/>
      <c r="G6" s="3953" t="s">
        <v>192</v>
      </c>
      <c r="H6" s="3953"/>
      <c r="I6" s="3953"/>
      <c r="J6" s="3953"/>
      <c r="K6" s="3953"/>
      <c r="L6" s="3953"/>
    </row>
    <row r="7" spans="2:15">
      <c r="D7" s="3954" t="s">
        <v>2855</v>
      </c>
      <c r="E7" s="3954"/>
      <c r="F7" s="3954"/>
      <c r="G7" s="3953" t="s">
        <v>2856</v>
      </c>
      <c r="H7" s="3953"/>
      <c r="I7" s="3953"/>
      <c r="J7" s="3953"/>
      <c r="K7" s="3953"/>
      <c r="L7" s="3953"/>
    </row>
    <row r="8" spans="2:15">
      <c r="D8" s="3954" t="s">
        <v>2865</v>
      </c>
      <c r="E8" s="3954"/>
      <c r="F8" s="3954"/>
      <c r="G8" s="3953" t="s">
        <v>4805</v>
      </c>
      <c r="H8" s="3953"/>
      <c r="I8" s="3953"/>
      <c r="J8" s="3953"/>
      <c r="K8" s="3953"/>
      <c r="L8" s="3953"/>
    </row>
    <row r="9" spans="2:15">
      <c r="D9" s="3954" t="s">
        <v>4806</v>
      </c>
      <c r="E9" s="3954"/>
      <c r="F9" s="3954"/>
      <c r="G9" s="3953" t="s">
        <v>4807</v>
      </c>
      <c r="H9" s="3953"/>
      <c r="I9" s="3953"/>
      <c r="J9" s="3953"/>
      <c r="K9" s="3953"/>
      <c r="L9" s="3953"/>
    </row>
    <row r="10" spans="2:15" ht="22.5">
      <c r="B10" s="452" t="s">
        <v>3398</v>
      </c>
      <c r="C10" s="452" t="s">
        <v>1629</v>
      </c>
      <c r="D10" s="457" t="s">
        <v>1098</v>
      </c>
      <c r="E10" s="457" t="s">
        <v>3591</v>
      </c>
      <c r="F10" s="452" t="s">
        <v>2757</v>
      </c>
      <c r="G10" s="452" t="s">
        <v>5004</v>
      </c>
      <c r="H10" s="452" t="s">
        <v>4319</v>
      </c>
      <c r="I10" s="452" t="s">
        <v>4320</v>
      </c>
      <c r="J10" s="452" t="s">
        <v>4321</v>
      </c>
      <c r="K10" s="454" t="s">
        <v>1520</v>
      </c>
      <c r="L10" s="454" t="s">
        <v>4070</v>
      </c>
      <c r="N10" s="581" t="s">
        <v>2412</v>
      </c>
    </row>
    <row r="11" spans="2:15">
      <c r="B11" s="459">
        <v>39375</v>
      </c>
      <c r="C11" s="460">
        <v>110</v>
      </c>
      <c r="D11" s="455" t="s">
        <v>2094</v>
      </c>
      <c r="E11" s="455" t="s">
        <v>2095</v>
      </c>
      <c r="F11" s="453" t="s">
        <v>2829</v>
      </c>
      <c r="G11" s="453" t="s">
        <v>2830</v>
      </c>
      <c r="H11" s="453" t="s">
        <v>2831</v>
      </c>
      <c r="I11" s="455" t="s">
        <v>2832</v>
      </c>
      <c r="J11" s="458" t="s">
        <v>2833</v>
      </c>
      <c r="K11" s="456" t="s">
        <v>2834</v>
      </c>
      <c r="L11" s="456" t="s">
        <v>666</v>
      </c>
    </row>
    <row r="12" spans="2:15">
      <c r="B12" s="459">
        <v>39375</v>
      </c>
      <c r="C12" s="460">
        <v>117</v>
      </c>
      <c r="D12" s="455" t="s">
        <v>667</v>
      </c>
      <c r="E12" s="455" t="s">
        <v>668</v>
      </c>
      <c r="F12" s="453" t="s">
        <v>1030</v>
      </c>
      <c r="G12" s="453" t="s">
        <v>2830</v>
      </c>
      <c r="H12" s="453" t="s">
        <v>1031</v>
      </c>
      <c r="I12" s="455" t="s">
        <v>1201</v>
      </c>
      <c r="J12" s="458" t="s">
        <v>2833</v>
      </c>
      <c r="K12" s="456" t="s">
        <v>1202</v>
      </c>
      <c r="L12" s="456" t="s">
        <v>1203</v>
      </c>
      <c r="O12" s="151" t="s">
        <v>1764</v>
      </c>
    </row>
    <row r="13" spans="2:15">
      <c r="B13" s="459">
        <v>39375</v>
      </c>
      <c r="C13" s="460">
        <v>118</v>
      </c>
      <c r="D13" s="455" t="s">
        <v>2833</v>
      </c>
      <c r="E13" s="455" t="s">
        <v>2350</v>
      </c>
      <c r="F13" s="453" t="s">
        <v>2351</v>
      </c>
      <c r="G13" s="453" t="s">
        <v>2830</v>
      </c>
      <c r="H13" s="453" t="s">
        <v>2904</v>
      </c>
      <c r="I13" s="455" t="s">
        <v>1201</v>
      </c>
      <c r="J13" s="458" t="s">
        <v>2833</v>
      </c>
      <c r="K13" s="456" t="s">
        <v>1202</v>
      </c>
      <c r="L13" s="456" t="s">
        <v>2518</v>
      </c>
      <c r="O13" s="151" t="s">
        <v>1500</v>
      </c>
    </row>
    <row r="14" spans="2:15">
      <c r="B14" s="459">
        <v>39375</v>
      </c>
      <c r="C14" s="460">
        <v>105</v>
      </c>
      <c r="D14" s="455" t="s">
        <v>1962</v>
      </c>
      <c r="E14" s="455" t="s">
        <v>2520</v>
      </c>
      <c r="F14" s="453" t="s">
        <v>2521</v>
      </c>
      <c r="G14" s="453" t="s">
        <v>2830</v>
      </c>
      <c r="H14" s="453" t="s">
        <v>2522</v>
      </c>
      <c r="I14" s="455" t="s">
        <v>2832</v>
      </c>
      <c r="J14" s="458" t="s">
        <v>2833</v>
      </c>
      <c r="K14" s="456" t="s">
        <v>1202</v>
      </c>
      <c r="L14" s="456" t="s">
        <v>1016</v>
      </c>
      <c r="O14" s="151" t="s">
        <v>1458</v>
      </c>
    </row>
    <row r="15" spans="2:15">
      <c r="B15" s="459">
        <v>39375</v>
      </c>
      <c r="C15" s="460">
        <v>113</v>
      </c>
      <c r="D15" s="455" t="s">
        <v>4570</v>
      </c>
      <c r="E15" s="455" t="s">
        <v>3961</v>
      </c>
      <c r="F15" s="453" t="s">
        <v>3962</v>
      </c>
      <c r="G15" s="453" t="s">
        <v>2830</v>
      </c>
      <c r="H15" s="453" t="s">
        <v>3963</v>
      </c>
      <c r="I15" s="455" t="s">
        <v>1201</v>
      </c>
      <c r="J15" s="458" t="s">
        <v>2833</v>
      </c>
      <c r="K15" s="456" t="s">
        <v>1202</v>
      </c>
      <c r="L15" s="456" t="s">
        <v>2518</v>
      </c>
      <c r="O15" s="151" t="s">
        <v>4100</v>
      </c>
    </row>
    <row r="16" spans="2:15">
      <c r="B16" s="459">
        <v>39375</v>
      </c>
      <c r="C16" s="460">
        <v>116</v>
      </c>
      <c r="D16" s="455" t="s">
        <v>2874</v>
      </c>
      <c r="E16" s="455" t="s">
        <v>3965</v>
      </c>
      <c r="F16" s="453" t="s">
        <v>3966</v>
      </c>
      <c r="G16" s="453" t="s">
        <v>2830</v>
      </c>
      <c r="H16" s="453" t="s">
        <v>3967</v>
      </c>
      <c r="I16" s="455" t="s">
        <v>1201</v>
      </c>
      <c r="J16" s="458" t="s">
        <v>2833</v>
      </c>
      <c r="K16" s="456" t="s">
        <v>1202</v>
      </c>
      <c r="L16" s="456" t="s">
        <v>2518</v>
      </c>
      <c r="O16" s="151" t="s">
        <v>2014</v>
      </c>
    </row>
    <row r="17" spans="2:16">
      <c r="B17" s="459">
        <v>39894</v>
      </c>
      <c r="C17" s="460">
        <v>115</v>
      </c>
      <c r="D17" s="455" t="s">
        <v>3836</v>
      </c>
      <c r="E17" s="455" t="s">
        <v>393</v>
      </c>
      <c r="F17" s="453" t="s">
        <v>394</v>
      </c>
      <c r="G17" s="453" t="s">
        <v>2830</v>
      </c>
      <c r="H17" s="453" t="s">
        <v>395</v>
      </c>
      <c r="I17" s="455" t="s">
        <v>1201</v>
      </c>
      <c r="J17" s="458" t="s">
        <v>2833</v>
      </c>
      <c r="K17" s="456" t="s">
        <v>1202</v>
      </c>
      <c r="L17" s="456" t="s">
        <v>2518</v>
      </c>
      <c r="O17" s="151" t="s">
        <v>303</v>
      </c>
    </row>
    <row r="18" spans="2:16">
      <c r="B18" s="459">
        <v>39375</v>
      </c>
      <c r="C18" s="460">
        <v>109</v>
      </c>
      <c r="D18" s="455" t="s">
        <v>2700</v>
      </c>
      <c r="E18" s="455" t="s">
        <v>397</v>
      </c>
      <c r="F18" s="453" t="s">
        <v>1339</v>
      </c>
      <c r="G18" s="453" t="s">
        <v>2830</v>
      </c>
      <c r="H18" s="453" t="s">
        <v>1340</v>
      </c>
      <c r="I18" s="455" t="s">
        <v>2832</v>
      </c>
      <c r="J18" s="458" t="s">
        <v>2833</v>
      </c>
      <c r="K18" s="456" t="s">
        <v>1202</v>
      </c>
      <c r="L18" s="456" t="s">
        <v>1016</v>
      </c>
      <c r="O18" s="151"/>
    </row>
    <row r="19" spans="2:16">
      <c r="B19" s="459">
        <v>39375</v>
      </c>
      <c r="C19" s="460">
        <v>106</v>
      </c>
      <c r="D19" s="455" t="s">
        <v>434</v>
      </c>
      <c r="E19" s="455" t="s">
        <v>1943</v>
      </c>
      <c r="F19" s="453" t="s">
        <v>3627</v>
      </c>
      <c r="G19" s="453" t="s">
        <v>2830</v>
      </c>
      <c r="H19" s="453" t="s">
        <v>3628</v>
      </c>
      <c r="I19" s="455" t="s">
        <v>2832</v>
      </c>
      <c r="J19" s="458" t="s">
        <v>2833</v>
      </c>
      <c r="K19" s="456" t="s">
        <v>1202</v>
      </c>
      <c r="L19" s="456" t="s">
        <v>1016</v>
      </c>
      <c r="O19" s="151" t="s">
        <v>304</v>
      </c>
    </row>
    <row r="20" spans="2:16">
      <c r="B20" s="459">
        <v>39375</v>
      </c>
      <c r="C20" s="460">
        <v>108</v>
      </c>
      <c r="D20" s="455" t="s">
        <v>1483</v>
      </c>
      <c r="E20" s="455" t="s">
        <v>3630</v>
      </c>
      <c r="F20" s="453" t="s">
        <v>3658</v>
      </c>
      <c r="G20" s="453" t="s">
        <v>2830</v>
      </c>
      <c r="H20" s="453" t="s">
        <v>4555</v>
      </c>
      <c r="I20" s="455" t="s">
        <v>2832</v>
      </c>
      <c r="J20" s="458" t="s">
        <v>2833</v>
      </c>
      <c r="K20" s="456" t="s">
        <v>1202</v>
      </c>
      <c r="L20" s="456" t="s">
        <v>1016</v>
      </c>
    </row>
    <row r="21" spans="2:16">
      <c r="B21" s="459">
        <v>39375</v>
      </c>
      <c r="C21" s="460">
        <v>107</v>
      </c>
      <c r="D21" s="455" t="s">
        <v>1449</v>
      </c>
      <c r="E21" s="455" t="s">
        <v>1635</v>
      </c>
      <c r="F21" s="453" t="s">
        <v>1525</v>
      </c>
      <c r="G21" s="453" t="s">
        <v>2830</v>
      </c>
      <c r="H21" s="453" t="s">
        <v>118</v>
      </c>
      <c r="I21" s="455" t="s">
        <v>2832</v>
      </c>
      <c r="J21" s="458" t="s">
        <v>2833</v>
      </c>
      <c r="K21" s="456" t="s">
        <v>1202</v>
      </c>
      <c r="L21" s="456" t="s">
        <v>1016</v>
      </c>
      <c r="N21" s="582" t="s">
        <v>3381</v>
      </c>
      <c r="O21" s="582"/>
      <c r="P21" s="582"/>
    </row>
    <row r="22" spans="2:16">
      <c r="B22" s="459">
        <v>39894</v>
      </c>
      <c r="C22" s="460">
        <v>120</v>
      </c>
      <c r="D22" s="455" t="s">
        <v>2396</v>
      </c>
      <c r="E22" s="455" t="s">
        <v>120</v>
      </c>
      <c r="F22" s="453" t="s">
        <v>4773</v>
      </c>
      <c r="G22" s="453" t="s">
        <v>2830</v>
      </c>
      <c r="H22" s="453" t="s">
        <v>4774</v>
      </c>
      <c r="I22" s="455" t="s">
        <v>4775</v>
      </c>
      <c r="J22" s="458" t="s">
        <v>2833</v>
      </c>
      <c r="K22" s="456" t="s">
        <v>1202</v>
      </c>
      <c r="L22" s="456" t="s">
        <v>2518</v>
      </c>
    </row>
    <row r="23" spans="2:16">
      <c r="B23" s="459">
        <v>39894</v>
      </c>
      <c r="C23" s="460">
        <v>104</v>
      </c>
      <c r="D23" s="455" t="s">
        <v>2780</v>
      </c>
      <c r="E23" s="455" t="s">
        <v>1834</v>
      </c>
      <c r="F23" s="453" t="s">
        <v>2370</v>
      </c>
      <c r="G23" s="453" t="s">
        <v>2830</v>
      </c>
      <c r="H23" s="453" t="s">
        <v>1787</v>
      </c>
      <c r="I23" s="455" t="s">
        <v>1788</v>
      </c>
      <c r="J23" s="458" t="s">
        <v>2833</v>
      </c>
      <c r="K23" s="456" t="s">
        <v>1202</v>
      </c>
      <c r="L23" s="456" t="s">
        <v>4683</v>
      </c>
    </row>
    <row r="24" spans="2:16">
      <c r="B24" s="459">
        <v>39375</v>
      </c>
      <c r="C24" s="460">
        <v>101</v>
      </c>
      <c r="D24" s="455" t="s">
        <v>1595</v>
      </c>
      <c r="E24" s="455" t="s">
        <v>4685</v>
      </c>
      <c r="F24" s="453" t="s">
        <v>2821</v>
      </c>
      <c r="G24" s="453" t="s">
        <v>2830</v>
      </c>
      <c r="H24" s="453" t="s">
        <v>1787</v>
      </c>
      <c r="I24" s="455" t="s">
        <v>1788</v>
      </c>
      <c r="J24" s="458" t="s">
        <v>2833</v>
      </c>
      <c r="K24" s="456" t="s">
        <v>1202</v>
      </c>
      <c r="L24" s="456" t="s">
        <v>4683</v>
      </c>
    </row>
    <row r="25" spans="2:16">
      <c r="B25" s="459">
        <v>39375</v>
      </c>
      <c r="C25" s="460">
        <v>102</v>
      </c>
      <c r="D25" s="455" t="s">
        <v>989</v>
      </c>
      <c r="E25" s="455" t="s">
        <v>2823</v>
      </c>
      <c r="F25" s="453" t="s">
        <v>4902</v>
      </c>
      <c r="G25" s="453" t="s">
        <v>2830</v>
      </c>
      <c r="H25" s="453" t="s">
        <v>4038</v>
      </c>
      <c r="I25" s="455" t="s">
        <v>1788</v>
      </c>
      <c r="J25" s="458" t="s">
        <v>2833</v>
      </c>
      <c r="K25" s="456" t="s">
        <v>1202</v>
      </c>
      <c r="L25" s="456" t="s">
        <v>4683</v>
      </c>
    </row>
    <row r="26" spans="2:16">
      <c r="B26" s="459">
        <v>39375</v>
      </c>
      <c r="C26" s="460">
        <v>103</v>
      </c>
      <c r="D26" s="455" t="s">
        <v>994</v>
      </c>
      <c r="E26" s="455" t="s">
        <v>4040</v>
      </c>
      <c r="F26" s="453" t="s">
        <v>4041</v>
      </c>
      <c r="G26" s="453" t="s">
        <v>2830</v>
      </c>
      <c r="H26" s="453" t="s">
        <v>4042</v>
      </c>
      <c r="I26" s="455" t="s">
        <v>1788</v>
      </c>
      <c r="J26" s="458" t="s">
        <v>2833</v>
      </c>
      <c r="K26" s="456" t="s">
        <v>1202</v>
      </c>
      <c r="L26" s="456" t="s">
        <v>4683</v>
      </c>
    </row>
    <row r="27" spans="2:16">
      <c r="B27" s="459">
        <v>39894</v>
      </c>
      <c r="C27" s="460">
        <v>112</v>
      </c>
      <c r="D27" s="455" t="s">
        <v>3247</v>
      </c>
      <c r="E27" s="455" t="s">
        <v>4381</v>
      </c>
      <c r="F27" s="453" t="s">
        <v>4382</v>
      </c>
      <c r="G27" s="453" t="s">
        <v>2830</v>
      </c>
      <c r="H27" s="453"/>
      <c r="I27" s="455" t="s">
        <v>1201</v>
      </c>
      <c r="J27" s="458" t="s">
        <v>667</v>
      </c>
      <c r="K27" s="456" t="s">
        <v>1202</v>
      </c>
      <c r="L27" s="456" t="s">
        <v>1203</v>
      </c>
    </row>
    <row r="28" spans="2:16">
      <c r="B28" s="459">
        <v>39375</v>
      </c>
      <c r="C28" s="460">
        <v>119</v>
      </c>
      <c r="D28" s="455" t="s">
        <v>2586</v>
      </c>
      <c r="E28" s="455" t="s">
        <v>4384</v>
      </c>
      <c r="F28" s="453" t="s">
        <v>4385</v>
      </c>
      <c r="G28" s="453" t="s">
        <v>2830</v>
      </c>
      <c r="H28" s="453" t="s">
        <v>4386</v>
      </c>
      <c r="I28" s="455" t="s">
        <v>1201</v>
      </c>
      <c r="J28" s="458" t="s">
        <v>2833</v>
      </c>
      <c r="K28" s="456" t="s">
        <v>1202</v>
      </c>
      <c r="L28" s="456" t="s">
        <v>2518</v>
      </c>
    </row>
    <row r="29" spans="2:16">
      <c r="B29" s="459">
        <v>39894</v>
      </c>
      <c r="C29" s="460">
        <v>114</v>
      </c>
      <c r="D29" s="455" t="s">
        <v>2878</v>
      </c>
      <c r="E29" s="455" t="s">
        <v>2280</v>
      </c>
      <c r="F29" s="453" t="s">
        <v>825</v>
      </c>
      <c r="G29" s="453" t="s">
        <v>2830</v>
      </c>
      <c r="H29" s="453" t="s">
        <v>826</v>
      </c>
      <c r="I29" s="455" t="s">
        <v>1201</v>
      </c>
      <c r="J29" s="458" t="s">
        <v>2833</v>
      </c>
      <c r="K29" s="456" t="s">
        <v>1202</v>
      </c>
      <c r="L29" s="456" t="s">
        <v>2518</v>
      </c>
    </row>
    <row r="30" spans="2:16">
      <c r="B30" s="459">
        <v>39375</v>
      </c>
      <c r="C30" s="460">
        <v>111</v>
      </c>
      <c r="D30" s="455" t="s">
        <v>4979</v>
      </c>
      <c r="E30" s="455" t="s">
        <v>820</v>
      </c>
      <c r="F30" s="453" t="s">
        <v>821</v>
      </c>
      <c r="G30" s="453" t="s">
        <v>2830</v>
      </c>
      <c r="H30" s="453" t="s">
        <v>2471</v>
      </c>
      <c r="I30" s="455" t="s">
        <v>1201</v>
      </c>
      <c r="J30" s="458" t="s">
        <v>2833</v>
      </c>
      <c r="K30" s="456" t="s">
        <v>1202</v>
      </c>
      <c r="L30" s="456" t="s">
        <v>2472</v>
      </c>
    </row>
    <row r="31" spans="2:16">
      <c r="B31" s="459">
        <v>39375</v>
      </c>
      <c r="C31" s="460">
        <v>121</v>
      </c>
      <c r="D31" s="455" t="s">
        <v>4127</v>
      </c>
      <c r="E31" s="455" t="s">
        <v>2474</v>
      </c>
      <c r="F31" s="453" t="s">
        <v>2475</v>
      </c>
      <c r="G31" s="453" t="s">
        <v>2830</v>
      </c>
      <c r="H31" s="453" t="s">
        <v>2089</v>
      </c>
      <c r="I31" s="455" t="s">
        <v>4775</v>
      </c>
      <c r="J31" s="458" t="s">
        <v>2833</v>
      </c>
      <c r="K31" s="456" t="s">
        <v>1202</v>
      </c>
      <c r="L31" s="456" t="s">
        <v>2090</v>
      </c>
    </row>
    <row r="32" spans="2:16">
      <c r="B32" s="459">
        <v>39375</v>
      </c>
      <c r="C32" s="460">
        <v>122</v>
      </c>
      <c r="D32" s="455" t="s">
        <v>1803</v>
      </c>
      <c r="E32" s="455" t="s">
        <v>2092</v>
      </c>
      <c r="F32" s="453" t="s">
        <v>2888</v>
      </c>
      <c r="G32" s="453" t="s">
        <v>2830</v>
      </c>
      <c r="H32" s="453" t="s">
        <v>2889</v>
      </c>
      <c r="I32" s="455" t="s">
        <v>4775</v>
      </c>
      <c r="J32" s="458" t="s">
        <v>2833</v>
      </c>
      <c r="K32" s="456" t="s">
        <v>3195</v>
      </c>
      <c r="L32" s="456" t="s">
        <v>2090</v>
      </c>
    </row>
    <row r="33" spans="2:12">
      <c r="B33" s="459">
        <v>39894</v>
      </c>
      <c r="C33" s="460">
        <v>214</v>
      </c>
      <c r="D33" s="455" t="s">
        <v>4757</v>
      </c>
      <c r="E33" s="455" t="s">
        <v>3703</v>
      </c>
      <c r="F33" s="453" t="s">
        <v>3704</v>
      </c>
      <c r="G33" s="453" t="s">
        <v>2830</v>
      </c>
      <c r="H33" s="453" t="s">
        <v>826</v>
      </c>
      <c r="I33" s="455" t="s">
        <v>621</v>
      </c>
      <c r="J33" s="458" t="s">
        <v>667</v>
      </c>
      <c r="K33" s="456" t="s">
        <v>1202</v>
      </c>
      <c r="L33" s="456" t="s">
        <v>622</v>
      </c>
    </row>
    <row r="34" spans="2:12">
      <c r="B34" s="459">
        <v>39375</v>
      </c>
      <c r="C34" s="460">
        <v>123</v>
      </c>
      <c r="D34" s="455" t="s">
        <v>4761</v>
      </c>
      <c r="E34" s="455" t="s">
        <v>4882</v>
      </c>
      <c r="F34" s="453" t="s">
        <v>3175</v>
      </c>
      <c r="G34" s="453" t="s">
        <v>2830</v>
      </c>
      <c r="H34" s="453" t="s">
        <v>745</v>
      </c>
      <c r="I34" s="455" t="s">
        <v>621</v>
      </c>
      <c r="J34" s="458" t="s">
        <v>2833</v>
      </c>
      <c r="K34" s="456" t="s">
        <v>1202</v>
      </c>
      <c r="L34" s="456" t="s">
        <v>1469</v>
      </c>
    </row>
    <row r="35" spans="2:12">
      <c r="B35" s="459">
        <v>39375</v>
      </c>
      <c r="C35" s="460">
        <v>169</v>
      </c>
      <c r="D35" s="455" t="s">
        <v>216</v>
      </c>
      <c r="E35" s="455" t="s">
        <v>1471</v>
      </c>
      <c r="F35" s="453" t="s">
        <v>1472</v>
      </c>
      <c r="G35" s="453" t="s">
        <v>2830</v>
      </c>
      <c r="H35" s="453" t="s">
        <v>1473</v>
      </c>
      <c r="I35" s="455" t="s">
        <v>1474</v>
      </c>
      <c r="J35" s="458" t="s">
        <v>2833</v>
      </c>
      <c r="K35" s="456" t="s">
        <v>1202</v>
      </c>
      <c r="L35" s="456" t="s">
        <v>1475</v>
      </c>
    </row>
    <row r="36" spans="2:12">
      <c r="B36" s="459">
        <v>39375</v>
      </c>
      <c r="C36" s="460">
        <v>170</v>
      </c>
      <c r="D36" s="455" t="s">
        <v>4028</v>
      </c>
      <c r="E36" s="455" t="s">
        <v>487</v>
      </c>
      <c r="F36" s="453" t="s">
        <v>488</v>
      </c>
      <c r="G36" s="453" t="s">
        <v>2830</v>
      </c>
      <c r="H36" s="453" t="s">
        <v>3526</v>
      </c>
      <c r="I36" s="455" t="s">
        <v>1474</v>
      </c>
      <c r="J36" s="458" t="s">
        <v>2833</v>
      </c>
      <c r="K36" s="456" t="s">
        <v>1202</v>
      </c>
      <c r="L36" s="456" t="s">
        <v>1475</v>
      </c>
    </row>
    <row r="37" spans="2:12">
      <c r="B37" s="459">
        <v>39375</v>
      </c>
      <c r="C37" s="460">
        <v>161</v>
      </c>
      <c r="D37" s="455" t="s">
        <v>4020</v>
      </c>
      <c r="E37" s="455" t="s">
        <v>360</v>
      </c>
      <c r="F37" s="453" t="s">
        <v>4901</v>
      </c>
      <c r="G37" s="453" t="s">
        <v>2830</v>
      </c>
      <c r="H37" s="453" t="s">
        <v>3203</v>
      </c>
      <c r="I37" s="455" t="s">
        <v>1474</v>
      </c>
      <c r="J37" s="458" t="s">
        <v>2833</v>
      </c>
      <c r="K37" s="456" t="s">
        <v>1202</v>
      </c>
      <c r="L37" s="456" t="s">
        <v>1475</v>
      </c>
    </row>
    <row r="38" spans="2:12">
      <c r="B38" s="459">
        <v>39375</v>
      </c>
      <c r="C38" s="460">
        <v>163</v>
      </c>
      <c r="D38" s="455" t="s">
        <v>4250</v>
      </c>
      <c r="E38" s="455" t="s">
        <v>391</v>
      </c>
      <c r="F38" s="453" t="s">
        <v>392</v>
      </c>
      <c r="G38" s="453" t="s">
        <v>2830</v>
      </c>
      <c r="H38" s="453" t="s">
        <v>2992</v>
      </c>
      <c r="I38" s="455" t="s">
        <v>1474</v>
      </c>
      <c r="J38" s="458" t="s">
        <v>2833</v>
      </c>
      <c r="K38" s="456" t="s">
        <v>1202</v>
      </c>
      <c r="L38" s="456" t="s">
        <v>1475</v>
      </c>
    </row>
    <row r="39" spans="2:12">
      <c r="B39" s="459">
        <v>39375</v>
      </c>
      <c r="C39" s="460">
        <v>159</v>
      </c>
      <c r="D39" s="455" t="s">
        <v>2519</v>
      </c>
      <c r="E39" s="455" t="s">
        <v>2994</v>
      </c>
      <c r="F39" s="453" t="s">
        <v>1306</v>
      </c>
      <c r="G39" s="453" t="s">
        <v>2830</v>
      </c>
      <c r="H39" s="453" t="s">
        <v>1307</v>
      </c>
      <c r="I39" s="455" t="s">
        <v>3268</v>
      </c>
      <c r="J39" s="458" t="s">
        <v>2833</v>
      </c>
      <c r="K39" s="456" t="s">
        <v>1202</v>
      </c>
      <c r="L39" s="456" t="s">
        <v>1475</v>
      </c>
    </row>
    <row r="40" spans="2:12">
      <c r="B40" s="459">
        <v>39375</v>
      </c>
      <c r="C40" s="460">
        <v>158</v>
      </c>
      <c r="D40" s="455" t="s">
        <v>1017</v>
      </c>
      <c r="E40" s="455" t="s">
        <v>3002</v>
      </c>
      <c r="F40" s="453" t="s">
        <v>3003</v>
      </c>
      <c r="G40" s="453" t="s">
        <v>2830</v>
      </c>
      <c r="H40" s="453" t="s">
        <v>4153</v>
      </c>
      <c r="I40" s="455" t="s">
        <v>3268</v>
      </c>
      <c r="J40" s="458" t="s">
        <v>2833</v>
      </c>
      <c r="K40" s="456" t="s">
        <v>1202</v>
      </c>
      <c r="L40" s="456" t="s">
        <v>1475</v>
      </c>
    </row>
    <row r="41" spans="2:12">
      <c r="B41" s="459">
        <v>39375</v>
      </c>
      <c r="C41" s="460">
        <v>152</v>
      </c>
      <c r="D41" s="455" t="s">
        <v>3964</v>
      </c>
      <c r="E41" s="455" t="s">
        <v>3128</v>
      </c>
      <c r="F41" s="453" t="s">
        <v>1623</v>
      </c>
      <c r="G41" s="453" t="s">
        <v>2830</v>
      </c>
      <c r="H41" s="453" t="s">
        <v>3121</v>
      </c>
      <c r="I41" s="455" t="s">
        <v>3268</v>
      </c>
      <c r="J41" s="458" t="s">
        <v>2833</v>
      </c>
      <c r="K41" s="456" t="s">
        <v>1202</v>
      </c>
      <c r="L41" s="456" t="s">
        <v>1475</v>
      </c>
    </row>
    <row r="42" spans="2:12">
      <c r="B42" s="459">
        <v>39375</v>
      </c>
      <c r="C42" s="460">
        <v>156</v>
      </c>
      <c r="D42" s="455" t="s">
        <v>1355</v>
      </c>
      <c r="E42" s="455" t="s">
        <v>2851</v>
      </c>
      <c r="F42" s="453" t="s">
        <v>4214</v>
      </c>
      <c r="G42" s="453" t="s">
        <v>2830</v>
      </c>
      <c r="H42" s="453" t="s">
        <v>2378</v>
      </c>
      <c r="I42" s="455" t="s">
        <v>3268</v>
      </c>
      <c r="J42" s="458" t="s">
        <v>2833</v>
      </c>
      <c r="K42" s="456" t="s">
        <v>1202</v>
      </c>
      <c r="L42" s="456" t="s">
        <v>1475</v>
      </c>
    </row>
    <row r="43" spans="2:12">
      <c r="B43" s="459">
        <v>39375</v>
      </c>
      <c r="C43" s="460">
        <v>154</v>
      </c>
      <c r="D43" s="455" t="s">
        <v>396</v>
      </c>
      <c r="E43" s="455" t="s">
        <v>2380</v>
      </c>
      <c r="F43" s="453" t="s">
        <v>2381</v>
      </c>
      <c r="G43" s="453" t="s">
        <v>2830</v>
      </c>
      <c r="H43" s="453" t="s">
        <v>4904</v>
      </c>
      <c r="I43" s="455" t="s">
        <v>3268</v>
      </c>
      <c r="J43" s="458" t="s">
        <v>2833</v>
      </c>
      <c r="K43" s="456" t="s">
        <v>1202</v>
      </c>
      <c r="L43" s="456" t="s">
        <v>1475</v>
      </c>
    </row>
    <row r="44" spans="2:12">
      <c r="B44" s="459">
        <v>39375</v>
      </c>
      <c r="C44" s="460">
        <v>151</v>
      </c>
      <c r="D44" s="455" t="s">
        <v>1942</v>
      </c>
      <c r="E44" s="455" t="s">
        <v>300</v>
      </c>
      <c r="F44" s="453" t="s">
        <v>301</v>
      </c>
      <c r="G44" s="453" t="s">
        <v>2830</v>
      </c>
      <c r="H44" s="453" t="s">
        <v>302</v>
      </c>
      <c r="I44" s="455" t="s">
        <v>3268</v>
      </c>
      <c r="J44" s="458" t="s">
        <v>2833</v>
      </c>
      <c r="K44" s="456" t="s">
        <v>1202</v>
      </c>
      <c r="L44" s="456" t="s">
        <v>1475</v>
      </c>
    </row>
    <row r="45" spans="2:12">
      <c r="B45" s="459">
        <v>39375</v>
      </c>
      <c r="C45" s="460">
        <v>162</v>
      </c>
      <c r="D45" s="455" t="s">
        <v>3629</v>
      </c>
      <c r="E45" s="455" t="s">
        <v>1591</v>
      </c>
      <c r="F45" s="453" t="s">
        <v>1592</v>
      </c>
      <c r="G45" s="453" t="s">
        <v>2830</v>
      </c>
      <c r="H45" s="453" t="s">
        <v>1895</v>
      </c>
      <c r="I45" s="455" t="s">
        <v>3268</v>
      </c>
      <c r="J45" s="458" t="s">
        <v>2833</v>
      </c>
      <c r="K45" s="456" t="s">
        <v>1202</v>
      </c>
      <c r="L45" s="456" t="s">
        <v>1475</v>
      </c>
    </row>
    <row r="46" spans="2:12">
      <c r="B46" s="459">
        <v>39375</v>
      </c>
      <c r="C46" s="460">
        <v>165</v>
      </c>
      <c r="D46" s="455" t="s">
        <v>703</v>
      </c>
      <c r="E46" s="455" t="s">
        <v>45</v>
      </c>
      <c r="F46" s="453" t="s">
        <v>462</v>
      </c>
      <c r="G46" s="453" t="s">
        <v>2830</v>
      </c>
      <c r="H46" s="453" t="s">
        <v>516</v>
      </c>
      <c r="I46" s="455" t="s">
        <v>1474</v>
      </c>
      <c r="J46" s="458" t="s">
        <v>2833</v>
      </c>
      <c r="K46" s="456" t="s">
        <v>1202</v>
      </c>
      <c r="L46" s="456" t="s">
        <v>1475</v>
      </c>
    </row>
    <row r="47" spans="2:12">
      <c r="B47" s="459">
        <v>39375</v>
      </c>
      <c r="C47" s="460">
        <v>166</v>
      </c>
      <c r="D47" s="455" t="s">
        <v>119</v>
      </c>
      <c r="E47" s="455" t="s">
        <v>518</v>
      </c>
      <c r="F47" s="453" t="s">
        <v>4941</v>
      </c>
      <c r="G47" s="453" t="s">
        <v>2830</v>
      </c>
      <c r="H47" s="453" t="s">
        <v>2281</v>
      </c>
      <c r="I47" s="455" t="s">
        <v>1474</v>
      </c>
      <c r="J47" s="458" t="s">
        <v>2833</v>
      </c>
      <c r="K47" s="456" t="s">
        <v>1202</v>
      </c>
      <c r="L47" s="456" t="s">
        <v>1475</v>
      </c>
    </row>
    <row r="48" spans="2:12">
      <c r="B48" s="459">
        <v>39375</v>
      </c>
      <c r="C48" s="460">
        <v>167</v>
      </c>
      <c r="D48" s="455" t="s">
        <v>3337</v>
      </c>
      <c r="E48" s="455" t="s">
        <v>2283</v>
      </c>
      <c r="F48" s="453" t="s">
        <v>3604</v>
      </c>
      <c r="G48" s="453" t="s">
        <v>2830</v>
      </c>
      <c r="H48" s="453" t="s">
        <v>3605</v>
      </c>
      <c r="I48" s="455" t="s">
        <v>1474</v>
      </c>
      <c r="J48" s="458" t="s">
        <v>2833</v>
      </c>
      <c r="K48" s="456" t="s">
        <v>1202</v>
      </c>
      <c r="L48" s="456" t="s">
        <v>1475</v>
      </c>
    </row>
    <row r="49" spans="2:12">
      <c r="B49" s="459">
        <v>39375</v>
      </c>
      <c r="C49" s="460">
        <v>157</v>
      </c>
      <c r="D49" s="455" t="s">
        <v>4684</v>
      </c>
      <c r="E49" s="455" t="s">
        <v>3607</v>
      </c>
      <c r="F49" s="453" t="s">
        <v>3608</v>
      </c>
      <c r="G49" s="453" t="s">
        <v>2830</v>
      </c>
      <c r="H49" s="453" t="s">
        <v>1895</v>
      </c>
      <c r="I49" s="455" t="s">
        <v>3268</v>
      </c>
      <c r="J49" s="458" t="s">
        <v>2833</v>
      </c>
      <c r="K49" s="456" t="s">
        <v>1202</v>
      </c>
      <c r="L49" s="456" t="s">
        <v>1475</v>
      </c>
    </row>
    <row r="50" spans="2:12">
      <c r="B50" s="459">
        <v>39375</v>
      </c>
      <c r="C50" s="460">
        <v>160</v>
      </c>
      <c r="D50" s="455" t="s">
        <v>2822</v>
      </c>
      <c r="E50" s="455" t="s">
        <v>1991</v>
      </c>
      <c r="F50" s="453" t="s">
        <v>1992</v>
      </c>
      <c r="G50" s="453" t="s">
        <v>2830</v>
      </c>
      <c r="H50" s="453" t="s">
        <v>1993</v>
      </c>
      <c r="I50" s="455" t="s">
        <v>3268</v>
      </c>
      <c r="J50" s="458" t="s">
        <v>2833</v>
      </c>
      <c r="K50" s="456" t="s">
        <v>1202</v>
      </c>
      <c r="L50" s="456" t="s">
        <v>1475</v>
      </c>
    </row>
    <row r="51" spans="2:12">
      <c r="B51" s="459">
        <v>39375</v>
      </c>
      <c r="C51" s="460">
        <v>168</v>
      </c>
      <c r="D51" s="455" t="s">
        <v>4039</v>
      </c>
      <c r="E51" s="455" t="s">
        <v>229</v>
      </c>
      <c r="F51" s="453" t="s">
        <v>230</v>
      </c>
      <c r="G51" s="453" t="s">
        <v>2830</v>
      </c>
      <c r="H51" s="453" t="s">
        <v>4297</v>
      </c>
      <c r="I51" s="455" t="s">
        <v>1474</v>
      </c>
      <c r="J51" s="458" t="s">
        <v>2833</v>
      </c>
      <c r="K51" s="456" t="s">
        <v>1202</v>
      </c>
      <c r="L51" s="456" t="s">
        <v>1475</v>
      </c>
    </row>
    <row r="52" spans="2:12">
      <c r="B52" s="459">
        <v>39375</v>
      </c>
      <c r="C52" s="460">
        <v>164</v>
      </c>
      <c r="D52" s="455" t="s">
        <v>2836</v>
      </c>
      <c r="E52" s="455" t="s">
        <v>4299</v>
      </c>
      <c r="F52" s="453" t="s">
        <v>283</v>
      </c>
      <c r="G52" s="453" t="s">
        <v>2830</v>
      </c>
      <c r="H52" s="453" t="s">
        <v>284</v>
      </c>
      <c r="I52" s="455" t="s">
        <v>1474</v>
      </c>
      <c r="J52" s="458" t="s">
        <v>2833</v>
      </c>
      <c r="K52" s="456" t="s">
        <v>1202</v>
      </c>
      <c r="L52" s="456" t="s">
        <v>1475</v>
      </c>
    </row>
    <row r="53" spans="2:12">
      <c r="B53" s="459">
        <v>39375</v>
      </c>
      <c r="C53" s="460">
        <v>153</v>
      </c>
      <c r="D53" s="455" t="s">
        <v>4383</v>
      </c>
      <c r="E53" s="455" t="s">
        <v>1365</v>
      </c>
      <c r="F53" s="453" t="s">
        <v>2582</v>
      </c>
      <c r="G53" s="453" t="s">
        <v>2830</v>
      </c>
      <c r="H53" s="453" t="s">
        <v>2583</v>
      </c>
      <c r="I53" s="455" t="s">
        <v>3268</v>
      </c>
      <c r="J53" s="458" t="s">
        <v>2833</v>
      </c>
      <c r="K53" s="456" t="s">
        <v>1202</v>
      </c>
      <c r="L53" s="456" t="s">
        <v>1475</v>
      </c>
    </row>
    <row r="54" spans="2:12">
      <c r="B54" s="459">
        <v>39375</v>
      </c>
      <c r="C54" s="460">
        <v>124</v>
      </c>
      <c r="D54" s="455" t="s">
        <v>2552</v>
      </c>
      <c r="E54" s="455" t="s">
        <v>1130</v>
      </c>
      <c r="F54" s="453" t="s">
        <v>4237</v>
      </c>
      <c r="G54" s="453" t="s">
        <v>2830</v>
      </c>
      <c r="H54" s="453" t="s">
        <v>444</v>
      </c>
      <c r="I54" s="455" t="s">
        <v>1138</v>
      </c>
      <c r="J54" s="458" t="s">
        <v>2833</v>
      </c>
      <c r="K54" s="456" t="s">
        <v>1202</v>
      </c>
      <c r="L54" s="456" t="s">
        <v>1139</v>
      </c>
    </row>
    <row r="55" spans="2:12">
      <c r="B55" s="459">
        <v>39375</v>
      </c>
      <c r="C55" s="460">
        <v>155</v>
      </c>
      <c r="D55" s="455" t="s">
        <v>827</v>
      </c>
      <c r="E55" s="455" t="s">
        <v>1141</v>
      </c>
      <c r="F55" s="453" t="s">
        <v>2339</v>
      </c>
      <c r="G55" s="453" t="s">
        <v>2830</v>
      </c>
      <c r="H55" s="453" t="s">
        <v>4157</v>
      </c>
      <c r="I55" s="455" t="s">
        <v>3268</v>
      </c>
      <c r="J55" s="458" t="s">
        <v>2833</v>
      </c>
      <c r="K55" s="456" t="s">
        <v>1202</v>
      </c>
      <c r="L55" s="456" t="s">
        <v>1475</v>
      </c>
    </row>
    <row r="56" spans="2:12">
      <c r="B56" s="459">
        <v>39375</v>
      </c>
      <c r="C56" s="460">
        <v>502</v>
      </c>
      <c r="D56" s="455" t="s">
        <v>2473</v>
      </c>
      <c r="E56" s="455" t="s">
        <v>4159</v>
      </c>
      <c r="F56" s="453" t="s">
        <v>771</v>
      </c>
      <c r="G56" s="453" t="s">
        <v>177</v>
      </c>
      <c r="H56" s="453" t="s">
        <v>772</v>
      </c>
      <c r="I56" s="455" t="s">
        <v>773</v>
      </c>
      <c r="J56" s="458" t="s">
        <v>2094</v>
      </c>
      <c r="K56" s="456" t="s">
        <v>774</v>
      </c>
      <c r="L56" s="456" t="s">
        <v>1843</v>
      </c>
    </row>
    <row r="57" spans="2:12">
      <c r="B57" s="459">
        <v>39375</v>
      </c>
      <c r="C57" s="460">
        <v>308</v>
      </c>
      <c r="D57" s="455" t="s">
        <v>2091</v>
      </c>
      <c r="E57" s="455" t="s">
        <v>1845</v>
      </c>
      <c r="F57" s="453" t="s">
        <v>1846</v>
      </c>
      <c r="G57" s="453" t="s">
        <v>177</v>
      </c>
      <c r="H57" s="453" t="s">
        <v>1847</v>
      </c>
      <c r="I57" s="455" t="s">
        <v>1788</v>
      </c>
      <c r="J57" s="458" t="s">
        <v>2833</v>
      </c>
      <c r="K57" s="456" t="s">
        <v>1848</v>
      </c>
      <c r="L57" s="456" t="s">
        <v>3165</v>
      </c>
    </row>
    <row r="58" spans="2:12">
      <c r="B58" s="459">
        <v>39375</v>
      </c>
      <c r="C58" s="460">
        <v>302</v>
      </c>
      <c r="D58" s="455" t="s">
        <v>848</v>
      </c>
      <c r="E58" s="455" t="s">
        <v>4507</v>
      </c>
      <c r="F58" s="453" t="s">
        <v>4508</v>
      </c>
      <c r="G58" s="453" t="s">
        <v>177</v>
      </c>
      <c r="H58" s="453" t="s">
        <v>956</v>
      </c>
      <c r="I58" s="455" t="s">
        <v>1788</v>
      </c>
      <c r="J58" s="458" t="s">
        <v>2833</v>
      </c>
      <c r="K58" s="456" t="s">
        <v>3060</v>
      </c>
      <c r="L58" s="456" t="s">
        <v>3</v>
      </c>
    </row>
    <row r="59" spans="2:12">
      <c r="B59" s="459">
        <v>39375</v>
      </c>
      <c r="C59" s="460">
        <v>315</v>
      </c>
      <c r="D59" s="455" t="s">
        <v>5042</v>
      </c>
      <c r="E59" s="455" t="s">
        <v>3385</v>
      </c>
      <c r="F59" s="453" t="s">
        <v>3386</v>
      </c>
      <c r="G59" s="453" t="s">
        <v>177</v>
      </c>
      <c r="H59" s="453" t="s">
        <v>4421</v>
      </c>
      <c r="I59" s="455" t="s">
        <v>2832</v>
      </c>
      <c r="J59" s="458" t="s">
        <v>2833</v>
      </c>
      <c r="K59" s="456" t="s">
        <v>1848</v>
      </c>
      <c r="L59" s="456" t="s">
        <v>3165</v>
      </c>
    </row>
    <row r="60" spans="2:12">
      <c r="B60" s="459">
        <v>39375</v>
      </c>
      <c r="C60" s="460">
        <v>324</v>
      </c>
      <c r="D60" s="455" t="s">
        <v>1470</v>
      </c>
      <c r="E60" s="455" t="s">
        <v>4489</v>
      </c>
      <c r="F60" s="453" t="s">
        <v>1451</v>
      </c>
      <c r="G60" s="453" t="s">
        <v>177</v>
      </c>
      <c r="H60" s="453" t="s">
        <v>1452</v>
      </c>
      <c r="I60" s="455" t="s">
        <v>2832</v>
      </c>
      <c r="J60" s="458" t="s">
        <v>667</v>
      </c>
      <c r="K60" s="456" t="s">
        <v>1848</v>
      </c>
      <c r="L60" s="456" t="s">
        <v>3165</v>
      </c>
    </row>
    <row r="61" spans="2:12">
      <c r="B61" s="459">
        <v>39375</v>
      </c>
      <c r="C61" s="460">
        <v>471</v>
      </c>
      <c r="D61" s="455" t="s">
        <v>1476</v>
      </c>
      <c r="E61" s="455" t="s">
        <v>996</v>
      </c>
      <c r="F61" s="453" t="s">
        <v>997</v>
      </c>
      <c r="G61" s="453" t="s">
        <v>177</v>
      </c>
      <c r="H61" s="453" t="s">
        <v>998</v>
      </c>
      <c r="I61" s="455" t="s">
        <v>999</v>
      </c>
      <c r="J61" s="458" t="s">
        <v>667</v>
      </c>
      <c r="K61" s="456" t="s">
        <v>2355</v>
      </c>
      <c r="L61" s="456" t="s">
        <v>3164</v>
      </c>
    </row>
    <row r="62" spans="2:12">
      <c r="B62" s="459">
        <v>39375</v>
      </c>
      <c r="C62" s="460">
        <v>332</v>
      </c>
      <c r="D62" s="455" t="s">
        <v>505</v>
      </c>
      <c r="E62" s="455" t="s">
        <v>3418</v>
      </c>
      <c r="F62" s="453" t="s">
        <v>1566</v>
      </c>
      <c r="G62" s="453" t="s">
        <v>177</v>
      </c>
      <c r="H62" s="453" t="s">
        <v>1567</v>
      </c>
      <c r="I62" s="455" t="s">
        <v>1568</v>
      </c>
      <c r="J62" s="458" t="s">
        <v>667</v>
      </c>
      <c r="K62" s="456" t="s">
        <v>1569</v>
      </c>
      <c r="L62" s="456" t="s">
        <v>560</v>
      </c>
    </row>
    <row r="63" spans="2:12">
      <c r="B63" s="459">
        <v>39375</v>
      </c>
      <c r="C63" s="460">
        <v>334</v>
      </c>
      <c r="D63" s="455" t="s">
        <v>3204</v>
      </c>
      <c r="E63" s="455" t="s">
        <v>746</v>
      </c>
      <c r="F63" s="453" t="s">
        <v>1021</v>
      </c>
      <c r="G63" s="453" t="s">
        <v>177</v>
      </c>
      <c r="H63" s="453" t="s">
        <v>1022</v>
      </c>
      <c r="I63" s="455" t="s">
        <v>1023</v>
      </c>
      <c r="J63" s="458" t="s">
        <v>667</v>
      </c>
      <c r="K63" s="456" t="s">
        <v>1024</v>
      </c>
      <c r="L63" s="456" t="s">
        <v>1025</v>
      </c>
    </row>
    <row r="64" spans="2:12">
      <c r="B64" s="459">
        <v>39375</v>
      </c>
      <c r="C64" s="460">
        <v>335</v>
      </c>
      <c r="D64" s="455" t="s">
        <v>2993</v>
      </c>
      <c r="E64" s="455" t="s">
        <v>972</v>
      </c>
      <c r="F64" s="453" t="s">
        <v>973</v>
      </c>
      <c r="G64" s="453" t="s">
        <v>177</v>
      </c>
      <c r="H64" s="453" t="s">
        <v>984</v>
      </c>
      <c r="I64" s="455" t="s">
        <v>1023</v>
      </c>
      <c r="J64" s="458" t="s">
        <v>667</v>
      </c>
      <c r="K64" s="456" t="s">
        <v>1024</v>
      </c>
      <c r="L64" s="456" t="s">
        <v>3828</v>
      </c>
    </row>
    <row r="65" spans="2:12">
      <c r="B65" s="459">
        <v>39375</v>
      </c>
      <c r="C65" s="460">
        <v>338</v>
      </c>
      <c r="D65" s="455" t="s">
        <v>3269</v>
      </c>
      <c r="E65" s="455" t="s">
        <v>1818</v>
      </c>
      <c r="F65" s="453" t="s">
        <v>1819</v>
      </c>
      <c r="G65" s="453" t="s">
        <v>177</v>
      </c>
      <c r="H65" s="453" t="s">
        <v>1163</v>
      </c>
      <c r="I65" s="455" t="s">
        <v>1023</v>
      </c>
      <c r="J65" s="458" t="s">
        <v>667</v>
      </c>
      <c r="K65" s="456" t="s">
        <v>1024</v>
      </c>
      <c r="L65" s="456" t="s">
        <v>577</v>
      </c>
    </row>
    <row r="66" spans="2:12">
      <c r="B66" s="459">
        <v>39375</v>
      </c>
      <c r="C66" s="460">
        <v>339</v>
      </c>
      <c r="D66" s="455" t="s">
        <v>4154</v>
      </c>
      <c r="E66" s="455" t="s">
        <v>690</v>
      </c>
      <c r="F66" s="453" t="s">
        <v>691</v>
      </c>
      <c r="G66" s="453" t="s">
        <v>177</v>
      </c>
      <c r="H66" s="453" t="s">
        <v>2893</v>
      </c>
      <c r="I66" s="455" t="s">
        <v>1023</v>
      </c>
      <c r="J66" s="458" t="s">
        <v>667</v>
      </c>
      <c r="K66" s="456" t="s">
        <v>1024</v>
      </c>
      <c r="L66" s="456" t="s">
        <v>3828</v>
      </c>
    </row>
    <row r="67" spans="2:12">
      <c r="B67" s="459">
        <v>39375</v>
      </c>
      <c r="C67" s="460">
        <v>342</v>
      </c>
      <c r="D67" s="455" t="s">
        <v>3122</v>
      </c>
      <c r="E67" s="455" t="s">
        <v>1654</v>
      </c>
      <c r="F67" s="453" t="s">
        <v>4287</v>
      </c>
      <c r="G67" s="453" t="s">
        <v>177</v>
      </c>
      <c r="H67" s="453" t="s">
        <v>1377</v>
      </c>
      <c r="I67" s="455" t="s">
        <v>1023</v>
      </c>
      <c r="J67" s="458" t="s">
        <v>667</v>
      </c>
      <c r="K67" s="456" t="s">
        <v>1024</v>
      </c>
      <c r="L67" s="456" t="s">
        <v>1378</v>
      </c>
    </row>
    <row r="68" spans="2:12">
      <c r="B68" s="459">
        <v>39375</v>
      </c>
      <c r="C68" s="460">
        <v>343</v>
      </c>
      <c r="D68" s="455" t="s">
        <v>2379</v>
      </c>
      <c r="E68" s="455" t="s">
        <v>2124</v>
      </c>
      <c r="F68" s="453" t="s">
        <v>2125</v>
      </c>
      <c r="G68" s="453" t="s">
        <v>177</v>
      </c>
      <c r="H68" s="453" t="s">
        <v>613</v>
      </c>
      <c r="I68" s="455" t="s">
        <v>1023</v>
      </c>
      <c r="J68" s="458" t="s">
        <v>667</v>
      </c>
      <c r="K68" s="456" t="s">
        <v>1024</v>
      </c>
      <c r="L68" s="456" t="s">
        <v>3828</v>
      </c>
    </row>
    <row r="69" spans="2:12">
      <c r="B69" s="459">
        <v>39375</v>
      </c>
      <c r="C69" s="460">
        <v>344</v>
      </c>
      <c r="D69" s="455" t="s">
        <v>299</v>
      </c>
      <c r="E69" s="455" t="s">
        <v>4342</v>
      </c>
      <c r="F69" s="453" t="s">
        <v>3342</v>
      </c>
      <c r="G69" s="453" t="s">
        <v>177</v>
      </c>
      <c r="H69" s="453" t="s">
        <v>4351</v>
      </c>
      <c r="I69" s="455" t="s">
        <v>1023</v>
      </c>
      <c r="J69" s="458" t="s">
        <v>667</v>
      </c>
      <c r="K69" s="456" t="s">
        <v>1024</v>
      </c>
      <c r="L69" s="456" t="s">
        <v>3828</v>
      </c>
    </row>
    <row r="70" spans="2:12">
      <c r="B70" s="459">
        <v>39375</v>
      </c>
      <c r="C70" s="460">
        <v>199</v>
      </c>
      <c r="D70" s="455" t="s">
        <v>1590</v>
      </c>
      <c r="E70" s="455" t="s">
        <v>1995</v>
      </c>
      <c r="F70" s="453" t="s">
        <v>937</v>
      </c>
      <c r="G70" s="453" t="s">
        <v>177</v>
      </c>
      <c r="H70" s="453" t="s">
        <v>4219</v>
      </c>
      <c r="I70" s="455" t="s">
        <v>4220</v>
      </c>
      <c r="J70" s="458" t="s">
        <v>2833</v>
      </c>
      <c r="K70" s="456" t="s">
        <v>831</v>
      </c>
      <c r="L70" s="456" t="s">
        <v>1448</v>
      </c>
    </row>
    <row r="71" spans="2:12">
      <c r="B71" s="459">
        <v>39375</v>
      </c>
      <c r="C71" s="460">
        <v>200</v>
      </c>
      <c r="D71" s="455" t="s">
        <v>44</v>
      </c>
      <c r="E71" s="455" t="s">
        <v>1065</v>
      </c>
      <c r="F71" s="453" t="s">
        <v>1681</v>
      </c>
      <c r="G71" s="453" t="s">
        <v>177</v>
      </c>
      <c r="H71" s="453" t="s">
        <v>3463</v>
      </c>
      <c r="I71" s="455" t="s">
        <v>755</v>
      </c>
      <c r="J71" s="458" t="s">
        <v>2833</v>
      </c>
      <c r="K71" s="456" t="s">
        <v>4864</v>
      </c>
      <c r="L71" s="456" t="s">
        <v>1961</v>
      </c>
    </row>
    <row r="72" spans="2:12">
      <c r="B72" s="459">
        <v>39375</v>
      </c>
      <c r="C72" s="460">
        <v>201</v>
      </c>
      <c r="D72" s="455" t="s">
        <v>517</v>
      </c>
      <c r="E72" s="455" t="s">
        <v>471</v>
      </c>
      <c r="F72" s="453" t="s">
        <v>15</v>
      </c>
      <c r="G72" s="453" t="s">
        <v>177</v>
      </c>
      <c r="H72" s="453" t="s">
        <v>661</v>
      </c>
      <c r="I72" s="455" t="s">
        <v>755</v>
      </c>
      <c r="J72" s="458" t="s">
        <v>2833</v>
      </c>
      <c r="K72" s="456" t="s">
        <v>4864</v>
      </c>
      <c r="L72" s="456" t="s">
        <v>1961</v>
      </c>
    </row>
    <row r="73" spans="2:12">
      <c r="B73" s="459">
        <v>39375</v>
      </c>
      <c r="C73" s="460">
        <v>202</v>
      </c>
      <c r="D73" s="455" t="s">
        <v>2282</v>
      </c>
      <c r="E73" s="455" t="s">
        <v>1360</v>
      </c>
      <c r="F73" s="453"/>
      <c r="G73" s="453" t="s">
        <v>177</v>
      </c>
      <c r="H73" s="453" t="s">
        <v>1361</v>
      </c>
      <c r="I73" s="455" t="s">
        <v>755</v>
      </c>
      <c r="J73" s="458" t="s">
        <v>2833</v>
      </c>
      <c r="K73" s="456" t="s">
        <v>4864</v>
      </c>
      <c r="L73" s="456" t="s">
        <v>1961</v>
      </c>
    </row>
    <row r="74" spans="2:12">
      <c r="B74" s="459">
        <v>39375</v>
      </c>
      <c r="C74" s="460">
        <v>204</v>
      </c>
      <c r="D74" s="455" t="s">
        <v>3606</v>
      </c>
      <c r="E74" s="455" t="s">
        <v>1841</v>
      </c>
      <c r="F74" s="453" t="s">
        <v>1842</v>
      </c>
      <c r="G74" s="453" t="s">
        <v>177</v>
      </c>
      <c r="H74" s="453" t="s">
        <v>2972</v>
      </c>
      <c r="I74" s="455" t="s">
        <v>755</v>
      </c>
      <c r="J74" s="458" t="s">
        <v>2833</v>
      </c>
      <c r="K74" s="456" t="s">
        <v>4864</v>
      </c>
      <c r="L74" s="456" t="s">
        <v>1961</v>
      </c>
    </row>
    <row r="75" spans="2:12">
      <c r="B75" s="459">
        <v>39375</v>
      </c>
      <c r="C75" s="460">
        <v>205</v>
      </c>
      <c r="D75" s="455" t="s">
        <v>3609</v>
      </c>
      <c r="E75" s="455" t="s">
        <v>3480</v>
      </c>
      <c r="F75" s="453" t="s">
        <v>3481</v>
      </c>
      <c r="G75" s="453" t="s">
        <v>177</v>
      </c>
      <c r="H75" s="453" t="s">
        <v>678</v>
      </c>
      <c r="I75" s="455" t="s">
        <v>755</v>
      </c>
      <c r="J75" s="458" t="s">
        <v>2833</v>
      </c>
      <c r="K75" s="456" t="s">
        <v>4864</v>
      </c>
      <c r="L75" s="456" t="s">
        <v>1961</v>
      </c>
    </row>
    <row r="76" spans="2:12">
      <c r="B76" s="459">
        <v>39375</v>
      </c>
      <c r="C76" s="460">
        <v>206</v>
      </c>
      <c r="D76" s="455" t="s">
        <v>1994</v>
      </c>
      <c r="E76" s="455" t="s">
        <v>680</v>
      </c>
      <c r="F76" s="453" t="s">
        <v>1387</v>
      </c>
      <c r="G76" s="453" t="s">
        <v>177</v>
      </c>
      <c r="H76" s="453" t="s">
        <v>1088</v>
      </c>
      <c r="I76" s="455" t="s">
        <v>755</v>
      </c>
      <c r="J76" s="458" t="s">
        <v>2833</v>
      </c>
      <c r="K76" s="456" t="s">
        <v>4864</v>
      </c>
      <c r="L76" s="456" t="s">
        <v>1961</v>
      </c>
    </row>
    <row r="77" spans="2:12">
      <c r="B77" s="459">
        <v>39375</v>
      </c>
      <c r="C77" s="460">
        <v>207</v>
      </c>
      <c r="D77" s="455" t="s">
        <v>4298</v>
      </c>
      <c r="E77" s="455" t="s">
        <v>1090</v>
      </c>
      <c r="F77" s="453" t="s">
        <v>1091</v>
      </c>
      <c r="G77" s="453" t="s">
        <v>177</v>
      </c>
      <c r="H77" s="453" t="s">
        <v>2352</v>
      </c>
      <c r="I77" s="455" t="s">
        <v>755</v>
      </c>
      <c r="J77" s="458" t="s">
        <v>2833</v>
      </c>
      <c r="K77" s="456" t="s">
        <v>4864</v>
      </c>
      <c r="L77" s="456" t="s">
        <v>1961</v>
      </c>
    </row>
    <row r="78" spans="2:12">
      <c r="B78" s="459">
        <v>39375</v>
      </c>
      <c r="C78" s="460">
        <v>209</v>
      </c>
      <c r="D78" s="455" t="s">
        <v>285</v>
      </c>
      <c r="E78" s="455" t="s">
        <v>3027</v>
      </c>
      <c r="F78" s="453" t="s">
        <v>1858</v>
      </c>
      <c r="G78" s="453" t="s">
        <v>177</v>
      </c>
      <c r="H78" s="453" t="s">
        <v>3561</v>
      </c>
      <c r="I78" s="455" t="s">
        <v>755</v>
      </c>
      <c r="J78" s="458" t="s">
        <v>2833</v>
      </c>
      <c r="K78" s="456" t="s">
        <v>4864</v>
      </c>
      <c r="L78" s="456" t="s">
        <v>1961</v>
      </c>
    </row>
    <row r="79" spans="2:12">
      <c r="B79" s="459">
        <v>39375</v>
      </c>
      <c r="C79" s="460">
        <v>210</v>
      </c>
      <c r="D79" s="455" t="s">
        <v>1129</v>
      </c>
      <c r="E79" s="455" t="s">
        <v>211</v>
      </c>
      <c r="F79" s="453" t="s">
        <v>3218</v>
      </c>
      <c r="G79" s="453" t="s">
        <v>177</v>
      </c>
      <c r="H79" s="453" t="s">
        <v>3219</v>
      </c>
      <c r="I79" s="455" t="s">
        <v>755</v>
      </c>
      <c r="J79" s="458" t="s">
        <v>2833</v>
      </c>
      <c r="K79" s="456" t="s">
        <v>4864</v>
      </c>
      <c r="L79" s="456" t="s">
        <v>1961</v>
      </c>
    </row>
    <row r="80" spans="2:12">
      <c r="B80" s="459">
        <v>39375</v>
      </c>
      <c r="C80" s="460">
        <v>214</v>
      </c>
      <c r="D80" s="455" t="s">
        <v>1140</v>
      </c>
      <c r="E80" s="455" t="s">
        <v>3221</v>
      </c>
      <c r="F80" s="453" t="s">
        <v>2584</v>
      </c>
      <c r="G80" s="453" t="s">
        <v>177</v>
      </c>
      <c r="H80" s="453" t="s">
        <v>2585</v>
      </c>
      <c r="I80" s="455" t="s">
        <v>755</v>
      </c>
      <c r="J80" s="458" t="s">
        <v>2833</v>
      </c>
      <c r="K80" s="456" t="s">
        <v>4864</v>
      </c>
      <c r="L80" s="456" t="s">
        <v>1961</v>
      </c>
    </row>
    <row r="81" spans="2:12">
      <c r="B81" s="459">
        <v>39375</v>
      </c>
      <c r="C81" s="460">
        <v>213</v>
      </c>
      <c r="D81" s="455" t="s">
        <v>4158</v>
      </c>
      <c r="E81" s="455" t="s">
        <v>2792</v>
      </c>
      <c r="F81" s="453" t="s">
        <v>2793</v>
      </c>
      <c r="G81" s="453" t="s">
        <v>177</v>
      </c>
      <c r="H81" s="453" t="s">
        <v>754</v>
      </c>
      <c r="I81" s="455" t="s">
        <v>755</v>
      </c>
      <c r="J81" s="458" t="s">
        <v>2833</v>
      </c>
      <c r="K81" s="456" t="s">
        <v>4864</v>
      </c>
      <c r="L81" s="456" t="s">
        <v>1961</v>
      </c>
    </row>
    <row r="82" spans="2:12">
      <c r="B82" s="459">
        <v>39375</v>
      </c>
      <c r="C82" s="460"/>
      <c r="D82" s="455" t="s">
        <v>1844</v>
      </c>
      <c r="E82" s="455" t="s">
        <v>1963</v>
      </c>
      <c r="F82" s="453" t="s">
        <v>4565</v>
      </c>
      <c r="G82" s="453" t="s">
        <v>177</v>
      </c>
      <c r="H82" s="453" t="s">
        <v>4566</v>
      </c>
      <c r="I82" s="455" t="s">
        <v>4567</v>
      </c>
      <c r="J82" s="458" t="s">
        <v>2833</v>
      </c>
      <c r="K82" s="456" t="s">
        <v>4568</v>
      </c>
      <c r="L82" s="456" t="s">
        <v>4569</v>
      </c>
    </row>
    <row r="83" spans="2:12">
      <c r="B83" s="459">
        <v>39375</v>
      </c>
      <c r="C83" s="460">
        <v>216</v>
      </c>
      <c r="D83" s="455" t="s">
        <v>3406</v>
      </c>
      <c r="E83" s="455" t="s">
        <v>4571</v>
      </c>
      <c r="F83" s="453" t="s">
        <v>214</v>
      </c>
      <c r="G83" s="453" t="s">
        <v>177</v>
      </c>
      <c r="H83" s="453" t="s">
        <v>2873</v>
      </c>
      <c r="I83" s="455" t="s">
        <v>4567</v>
      </c>
      <c r="J83" s="458" t="s">
        <v>2833</v>
      </c>
      <c r="K83" s="456" t="s">
        <v>4864</v>
      </c>
      <c r="L83" s="456" t="s">
        <v>1961</v>
      </c>
    </row>
    <row r="84" spans="2:12">
      <c r="B84" s="459">
        <v>39375</v>
      </c>
      <c r="C84" s="460">
        <v>215</v>
      </c>
      <c r="D84" s="455" t="s">
        <v>1875</v>
      </c>
      <c r="E84" s="455" t="s">
        <v>2875</v>
      </c>
      <c r="F84" s="453" t="s">
        <v>2876</v>
      </c>
      <c r="G84" s="453" t="s">
        <v>177</v>
      </c>
      <c r="H84" s="453" t="s">
        <v>3835</v>
      </c>
      <c r="I84" s="455" t="s">
        <v>4567</v>
      </c>
      <c r="J84" s="458" t="s">
        <v>2833</v>
      </c>
      <c r="K84" s="456" t="s">
        <v>4864</v>
      </c>
      <c r="L84" s="456" t="s">
        <v>1961</v>
      </c>
    </row>
    <row r="85" spans="2:12">
      <c r="B85" s="459">
        <v>39375</v>
      </c>
      <c r="C85" s="460">
        <v>217</v>
      </c>
      <c r="D85" s="455" t="s">
        <v>4488</v>
      </c>
      <c r="E85" s="455" t="s">
        <v>3837</v>
      </c>
      <c r="F85" s="453" t="s">
        <v>2750</v>
      </c>
      <c r="G85" s="453" t="s">
        <v>177</v>
      </c>
      <c r="H85" s="453" t="s">
        <v>2699</v>
      </c>
      <c r="I85" s="455" t="s">
        <v>4567</v>
      </c>
      <c r="J85" s="458" t="s">
        <v>2833</v>
      </c>
      <c r="K85" s="456" t="s">
        <v>4864</v>
      </c>
      <c r="L85" s="456" t="s">
        <v>1961</v>
      </c>
    </row>
    <row r="86" spans="2:12">
      <c r="B86" s="459">
        <v>39375</v>
      </c>
      <c r="C86" s="460"/>
      <c r="D86" s="455" t="s">
        <v>2731</v>
      </c>
      <c r="E86" s="455" t="s">
        <v>3907</v>
      </c>
      <c r="F86" s="453" t="s">
        <v>432</v>
      </c>
      <c r="G86" s="453" t="s">
        <v>177</v>
      </c>
      <c r="H86" s="453" t="s">
        <v>433</v>
      </c>
      <c r="I86" s="455" t="s">
        <v>4567</v>
      </c>
      <c r="J86" s="458" t="s">
        <v>2833</v>
      </c>
      <c r="K86" s="456" t="s">
        <v>4568</v>
      </c>
      <c r="L86" s="456" t="s">
        <v>4569</v>
      </c>
    </row>
    <row r="87" spans="2:12">
      <c r="B87" s="459">
        <v>39375</v>
      </c>
      <c r="C87" s="460">
        <v>218</v>
      </c>
      <c r="D87" s="455" t="s">
        <v>3417</v>
      </c>
      <c r="E87" s="455" t="s">
        <v>4961</v>
      </c>
      <c r="F87" s="453" t="s">
        <v>4962</v>
      </c>
      <c r="G87" s="453" t="s">
        <v>177</v>
      </c>
      <c r="H87" s="453" t="s">
        <v>4604</v>
      </c>
      <c r="I87" s="455" t="s">
        <v>4567</v>
      </c>
      <c r="J87" s="458" t="s">
        <v>2833</v>
      </c>
      <c r="K87" s="456" t="s">
        <v>4568</v>
      </c>
      <c r="L87" s="456" t="s">
        <v>4569</v>
      </c>
    </row>
    <row r="88" spans="2:12">
      <c r="B88" s="459">
        <v>39375</v>
      </c>
      <c r="C88" s="460"/>
      <c r="D88" s="455" t="s">
        <v>3305</v>
      </c>
      <c r="E88" s="455" t="s">
        <v>3192</v>
      </c>
      <c r="F88" s="453" t="s">
        <v>3193</v>
      </c>
      <c r="G88" s="453" t="s">
        <v>177</v>
      </c>
      <c r="H88" s="453" t="s">
        <v>3194</v>
      </c>
      <c r="I88" s="455" t="s">
        <v>4567</v>
      </c>
      <c r="J88" s="458" t="s">
        <v>2833</v>
      </c>
      <c r="K88" s="456" t="s">
        <v>3195</v>
      </c>
      <c r="L88" s="456" t="s">
        <v>1448</v>
      </c>
    </row>
    <row r="89" spans="2:12">
      <c r="B89" s="459">
        <v>39375</v>
      </c>
      <c r="C89" s="460"/>
      <c r="D89" s="455" t="s">
        <v>1786</v>
      </c>
      <c r="E89" s="455" t="s">
        <v>1450</v>
      </c>
      <c r="F89" s="453" t="s">
        <v>2189</v>
      </c>
      <c r="G89" s="453" t="s">
        <v>177</v>
      </c>
      <c r="H89" s="453" t="s">
        <v>2190</v>
      </c>
      <c r="I89" s="455" t="s">
        <v>4567</v>
      </c>
      <c r="J89" s="458" t="s">
        <v>2833</v>
      </c>
      <c r="K89" s="456" t="s">
        <v>3195</v>
      </c>
      <c r="L89" s="456" t="s">
        <v>1448</v>
      </c>
    </row>
    <row r="90" spans="2:12">
      <c r="B90" s="459">
        <v>39375</v>
      </c>
      <c r="C90" s="460"/>
      <c r="D90" s="455" t="s">
        <v>3829</v>
      </c>
      <c r="E90" s="455" t="s">
        <v>270</v>
      </c>
      <c r="F90" s="453" t="s">
        <v>4111</v>
      </c>
      <c r="G90" s="453" t="s">
        <v>177</v>
      </c>
      <c r="H90" s="453" t="s">
        <v>3094</v>
      </c>
      <c r="I90" s="455" t="s">
        <v>3095</v>
      </c>
      <c r="J90" s="458" t="s">
        <v>2833</v>
      </c>
      <c r="K90" s="456" t="s">
        <v>3195</v>
      </c>
      <c r="L90" s="456" t="s">
        <v>2074</v>
      </c>
    </row>
    <row r="91" spans="2:12">
      <c r="B91" s="459">
        <v>39375</v>
      </c>
      <c r="C91" s="460"/>
      <c r="D91" s="455" t="s">
        <v>689</v>
      </c>
      <c r="E91" s="455" t="s">
        <v>966</v>
      </c>
      <c r="F91" s="453" t="s">
        <v>948</v>
      </c>
      <c r="G91" s="453" t="s">
        <v>177</v>
      </c>
      <c r="H91" s="453" t="s">
        <v>978</v>
      </c>
      <c r="I91" s="455" t="s">
        <v>3095</v>
      </c>
      <c r="J91" s="458" t="s">
        <v>2833</v>
      </c>
      <c r="K91" s="456" t="s">
        <v>3195</v>
      </c>
      <c r="L91" s="456" t="s">
        <v>2074</v>
      </c>
    </row>
    <row r="92" spans="2:12">
      <c r="B92" s="459">
        <v>39375</v>
      </c>
      <c r="C92" s="460">
        <v>225</v>
      </c>
      <c r="D92" s="455" t="s">
        <v>215</v>
      </c>
      <c r="E92" s="455" t="s">
        <v>499</v>
      </c>
      <c r="F92" s="453" t="s">
        <v>4082</v>
      </c>
      <c r="G92" s="453" t="s">
        <v>177</v>
      </c>
      <c r="H92" s="453" t="s">
        <v>4083</v>
      </c>
      <c r="I92" s="455" t="s">
        <v>3095</v>
      </c>
      <c r="J92" s="458" t="s">
        <v>2833</v>
      </c>
      <c r="K92" s="456" t="s">
        <v>3195</v>
      </c>
      <c r="L92" s="456" t="s">
        <v>2074</v>
      </c>
    </row>
    <row r="93" spans="2:12">
      <c r="B93" s="459">
        <v>39375</v>
      </c>
      <c r="C93" s="460"/>
      <c r="D93" s="455" t="s">
        <v>2619</v>
      </c>
      <c r="E93" s="455" t="s">
        <v>990</v>
      </c>
      <c r="F93" s="453" t="s">
        <v>991</v>
      </c>
      <c r="G93" s="453" t="s">
        <v>177</v>
      </c>
      <c r="H93" s="453" t="s">
        <v>992</v>
      </c>
      <c r="I93" s="455" t="s">
        <v>3095</v>
      </c>
      <c r="J93" s="458" t="s">
        <v>667</v>
      </c>
      <c r="K93" s="456" t="s">
        <v>4568</v>
      </c>
      <c r="L93" s="456" t="s">
        <v>993</v>
      </c>
    </row>
    <row r="94" spans="2:12">
      <c r="B94" s="459">
        <v>39375</v>
      </c>
      <c r="C94" s="460"/>
      <c r="D94" s="455" t="s">
        <v>614</v>
      </c>
      <c r="E94" s="455" t="s">
        <v>2796</v>
      </c>
      <c r="F94" s="453" t="s">
        <v>2797</v>
      </c>
      <c r="G94" s="453" t="s">
        <v>177</v>
      </c>
      <c r="H94" s="453" t="s">
        <v>3245</v>
      </c>
      <c r="I94" s="455" t="s">
        <v>3095</v>
      </c>
      <c r="J94" s="458" t="s">
        <v>2833</v>
      </c>
      <c r="K94" s="456" t="s">
        <v>3195</v>
      </c>
      <c r="L94" s="456" t="s">
        <v>3246</v>
      </c>
    </row>
    <row r="95" spans="2:12">
      <c r="B95" s="459">
        <v>39375</v>
      </c>
      <c r="C95" s="460"/>
      <c r="D95" s="455" t="s">
        <v>4352</v>
      </c>
      <c r="E95" s="455" t="s">
        <v>3248</v>
      </c>
      <c r="F95" s="453" t="s">
        <v>3249</v>
      </c>
      <c r="G95" s="453" t="s">
        <v>177</v>
      </c>
      <c r="H95" s="453" t="s">
        <v>1959</v>
      </c>
      <c r="I95" s="455" t="s">
        <v>1960</v>
      </c>
      <c r="J95" s="458" t="s">
        <v>2833</v>
      </c>
      <c r="K95" s="456" t="s">
        <v>3195</v>
      </c>
      <c r="L95" s="456" t="s">
        <v>3246</v>
      </c>
    </row>
    <row r="96" spans="2:12">
      <c r="B96" s="459">
        <v>39375</v>
      </c>
      <c r="C96" s="460"/>
      <c r="D96" s="455" t="s">
        <v>2729</v>
      </c>
      <c r="E96" s="455" t="s">
        <v>1685</v>
      </c>
      <c r="F96" s="453" t="s">
        <v>1657</v>
      </c>
      <c r="G96" s="453" t="s">
        <v>177</v>
      </c>
      <c r="H96" s="453" t="s">
        <v>2877</v>
      </c>
      <c r="I96" s="455" t="s">
        <v>3095</v>
      </c>
      <c r="J96" s="458" t="s">
        <v>2833</v>
      </c>
      <c r="K96" s="456" t="s">
        <v>3195</v>
      </c>
      <c r="L96" s="456" t="s">
        <v>2074</v>
      </c>
    </row>
    <row r="97" spans="2:12">
      <c r="B97" s="459">
        <v>39375</v>
      </c>
      <c r="C97" s="460"/>
      <c r="D97" s="455" t="s">
        <v>3464</v>
      </c>
      <c r="E97" s="455" t="s">
        <v>2879</v>
      </c>
      <c r="F97" s="453" t="s">
        <v>4977</v>
      </c>
      <c r="G97" s="453" t="s">
        <v>177</v>
      </c>
      <c r="H97" s="453" t="s">
        <v>4978</v>
      </c>
      <c r="I97" s="455" t="s">
        <v>1960</v>
      </c>
      <c r="J97" s="458" t="s">
        <v>2833</v>
      </c>
      <c r="K97" s="456" t="s">
        <v>3195</v>
      </c>
      <c r="L97" s="456" t="s">
        <v>3246</v>
      </c>
    </row>
    <row r="98" spans="2:12">
      <c r="B98" s="459">
        <v>39375</v>
      </c>
      <c r="C98" s="460"/>
      <c r="D98" s="455" t="s">
        <v>1359</v>
      </c>
      <c r="E98" s="455" t="s">
        <v>2290</v>
      </c>
      <c r="F98" s="453" t="s">
        <v>2291</v>
      </c>
      <c r="G98" s="453" t="s">
        <v>177</v>
      </c>
      <c r="H98" s="453" t="s">
        <v>2292</v>
      </c>
      <c r="I98" s="455" t="s">
        <v>673</v>
      </c>
      <c r="J98" s="458" t="s">
        <v>2833</v>
      </c>
      <c r="K98" s="456" t="s">
        <v>674</v>
      </c>
      <c r="L98" s="456" t="s">
        <v>675</v>
      </c>
    </row>
    <row r="99" spans="2:12">
      <c r="B99" s="459">
        <v>39375</v>
      </c>
      <c r="C99" s="460"/>
      <c r="D99" s="455" t="s">
        <v>1840</v>
      </c>
      <c r="E99" s="455" t="s">
        <v>3093</v>
      </c>
      <c r="F99" s="453" t="s">
        <v>4331</v>
      </c>
      <c r="G99" s="453" t="s">
        <v>177</v>
      </c>
      <c r="H99" s="453" t="s">
        <v>1802</v>
      </c>
      <c r="I99" s="455" t="s">
        <v>673</v>
      </c>
      <c r="J99" s="458" t="s">
        <v>2833</v>
      </c>
      <c r="K99" s="456" t="s">
        <v>674</v>
      </c>
      <c r="L99" s="456" t="s">
        <v>675</v>
      </c>
    </row>
    <row r="100" spans="2:12">
      <c r="B100" s="459">
        <v>39375</v>
      </c>
      <c r="C100" s="460"/>
      <c r="D100" s="455" t="s">
        <v>4692</v>
      </c>
      <c r="E100" s="455" t="s">
        <v>1804</v>
      </c>
      <c r="F100" s="453" t="s">
        <v>1805</v>
      </c>
      <c r="G100" s="453" t="s">
        <v>177</v>
      </c>
      <c r="H100" s="453" t="s">
        <v>3775</v>
      </c>
      <c r="I100" s="455" t="s">
        <v>673</v>
      </c>
      <c r="J100" s="458" t="s">
        <v>2833</v>
      </c>
      <c r="K100" s="456" t="s">
        <v>674</v>
      </c>
      <c r="L100" s="456" t="s">
        <v>675</v>
      </c>
    </row>
    <row r="101" spans="2:12">
      <c r="B101" s="459">
        <v>39375</v>
      </c>
      <c r="C101" s="460"/>
      <c r="D101" s="455" t="s">
        <v>679</v>
      </c>
      <c r="E101" s="455" t="s">
        <v>4758</v>
      </c>
      <c r="F101" s="453" t="s">
        <v>4759</v>
      </c>
      <c r="G101" s="453" t="s">
        <v>177</v>
      </c>
      <c r="H101" s="453" t="s">
        <v>4760</v>
      </c>
      <c r="I101" s="455" t="s">
        <v>673</v>
      </c>
      <c r="J101" s="458" t="s">
        <v>2833</v>
      </c>
      <c r="K101" s="456" t="s">
        <v>674</v>
      </c>
      <c r="L101" s="456" t="s">
        <v>675</v>
      </c>
    </row>
    <row r="102" spans="2:12">
      <c r="B102" s="459">
        <v>39375</v>
      </c>
      <c r="C102" s="460"/>
      <c r="D102" s="455" t="s">
        <v>1089</v>
      </c>
      <c r="E102" s="455" t="s">
        <v>4762</v>
      </c>
      <c r="F102" s="453" t="s">
        <v>2747</v>
      </c>
      <c r="G102" s="453" t="s">
        <v>177</v>
      </c>
      <c r="H102" s="453" t="s">
        <v>2748</v>
      </c>
      <c r="I102" s="455" t="s">
        <v>581</v>
      </c>
      <c r="J102" s="458" t="s">
        <v>2833</v>
      </c>
      <c r="K102" s="456" t="s">
        <v>3195</v>
      </c>
      <c r="L102" s="456" t="s">
        <v>3246</v>
      </c>
    </row>
    <row r="103" spans="2:12">
      <c r="B103" s="459">
        <v>39375</v>
      </c>
      <c r="C103" s="460"/>
      <c r="D103" s="455" t="s">
        <v>2353</v>
      </c>
      <c r="E103" s="455" t="s">
        <v>2327</v>
      </c>
      <c r="F103" s="453" t="s">
        <v>2328</v>
      </c>
      <c r="G103" s="453" t="s">
        <v>177</v>
      </c>
      <c r="H103" s="453" t="s">
        <v>3968</v>
      </c>
      <c r="I103" s="455" t="s">
        <v>581</v>
      </c>
      <c r="J103" s="458" t="s">
        <v>2833</v>
      </c>
      <c r="K103" s="456" t="s">
        <v>3195</v>
      </c>
      <c r="L103" s="456" t="s">
        <v>3246</v>
      </c>
    </row>
    <row r="104" spans="2:12">
      <c r="B104" s="459">
        <v>39375</v>
      </c>
      <c r="C104" s="460"/>
      <c r="D104" s="455" t="s">
        <v>4968</v>
      </c>
      <c r="E104" s="455" t="s">
        <v>4029</v>
      </c>
      <c r="F104" s="453" t="s">
        <v>4030</v>
      </c>
      <c r="G104" s="453" t="s">
        <v>177</v>
      </c>
      <c r="H104" s="453" t="s">
        <v>4031</v>
      </c>
      <c r="I104" s="455" t="s">
        <v>581</v>
      </c>
      <c r="J104" s="458" t="s">
        <v>2833</v>
      </c>
      <c r="K104" s="456" t="s">
        <v>3195</v>
      </c>
      <c r="L104" s="456" t="s">
        <v>3246</v>
      </c>
    </row>
    <row r="105" spans="2:12">
      <c r="B105" s="459">
        <v>39375</v>
      </c>
      <c r="C105" s="460"/>
      <c r="D105" s="455" t="s">
        <v>3220</v>
      </c>
      <c r="E105" s="455" t="s">
        <v>4021</v>
      </c>
      <c r="F105" s="453" t="s">
        <v>170</v>
      </c>
      <c r="G105" s="453" t="s">
        <v>177</v>
      </c>
      <c r="H105" s="453" t="s">
        <v>4249</v>
      </c>
      <c r="I105" s="455" t="s">
        <v>581</v>
      </c>
      <c r="J105" s="458" t="s">
        <v>2833</v>
      </c>
      <c r="K105" s="456" t="s">
        <v>3195</v>
      </c>
      <c r="L105" s="456" t="s">
        <v>3246</v>
      </c>
    </row>
  </sheetData>
  <mergeCells count="17">
    <mergeCell ref="F1:K1"/>
    <mergeCell ref="G3:L3"/>
    <mergeCell ref="G4:L4"/>
    <mergeCell ref="G5:L5"/>
    <mergeCell ref="D3:F3"/>
    <mergeCell ref="D4:F4"/>
    <mergeCell ref="D5:F5"/>
    <mergeCell ref="G2:L2"/>
    <mergeCell ref="B3:B5"/>
    <mergeCell ref="G7:L7"/>
    <mergeCell ref="G8:L8"/>
    <mergeCell ref="G9:L9"/>
    <mergeCell ref="G6:L6"/>
    <mergeCell ref="D8:F8"/>
    <mergeCell ref="D9:F9"/>
    <mergeCell ref="D6:F6"/>
    <mergeCell ref="D7:F7"/>
  </mergeCells>
  <phoneticPr fontId="11" type="noConversion"/>
  <conditionalFormatting sqref="B11:B105">
    <cfRule type="cellIs" dxfId="0" priority="1" stopIfTrue="1" operator="lessThan">
      <formula>$B$3</formula>
    </cfRule>
  </conditionalFormatting>
  <pageMargins left="0.75" right="0.75" top="1" bottom="1" header="0" footer="0"/>
  <pageSetup orientation="portrait" horizontalDpi="120" verticalDpi="144" r:id="rId1"/>
  <headerFooter alignWithMargins="0"/>
  <drawing r:id="rId2"/>
  <legacyDrawing r:id="rId3"/>
</worksheet>
</file>

<file path=xl/worksheets/sheet22.xml><?xml version="1.0" encoding="utf-8"?>
<worksheet xmlns="http://schemas.openxmlformats.org/spreadsheetml/2006/main" xmlns:r="http://schemas.openxmlformats.org/officeDocument/2006/relationships">
  <sheetPr codeName="Hoja22">
    <pageSetUpPr fitToPage="1"/>
  </sheetPr>
  <dimension ref="B2:P153"/>
  <sheetViews>
    <sheetView zoomScale="90" workbookViewId="0">
      <pane ySplit="5" topLeftCell="A6" activePane="bottomLeft" state="frozen"/>
      <selection pane="bottomLeft" activeCell="A6" sqref="A6"/>
    </sheetView>
  </sheetViews>
  <sheetFormatPr baseColWidth="10" defaultRowHeight="12.75"/>
  <cols>
    <col min="1" max="1" width="5.7109375" customWidth="1"/>
    <col min="2" max="2" width="13.140625" customWidth="1"/>
    <col min="3" max="3" width="13" style="8" customWidth="1"/>
    <col min="4" max="4" width="11.42578125" style="8"/>
    <col min="5" max="5" width="10.7109375" style="8" customWidth="1"/>
    <col min="6" max="6" width="12.28515625" bestFit="1" customWidth="1"/>
    <col min="7" max="7" width="12.28515625" hidden="1" customWidth="1"/>
    <col min="8" max="8" width="10.7109375" style="8" customWidth="1"/>
    <col min="9" max="9" width="10.7109375" style="472" customWidth="1"/>
    <col min="10" max="10" width="10.7109375" style="74" customWidth="1"/>
    <col min="13" max="14" width="0" hidden="1" customWidth="1"/>
    <col min="15" max="15" width="48.42578125" bestFit="1" customWidth="1"/>
  </cols>
  <sheetData>
    <row r="2" spans="2:16">
      <c r="B2" s="2" t="s">
        <v>4200</v>
      </c>
    </row>
    <row r="3" spans="2:16" ht="15">
      <c r="B3" s="541" t="s">
        <v>2257</v>
      </c>
    </row>
    <row r="4" spans="2:16">
      <c r="B4" s="3963" t="s">
        <v>2055</v>
      </c>
      <c r="C4" s="3921"/>
      <c r="D4" s="572" t="s">
        <v>907</v>
      </c>
      <c r="E4" s="572" t="s">
        <v>3591</v>
      </c>
      <c r="F4" s="212"/>
      <c r="G4" s="305"/>
      <c r="H4" s="574" t="s">
        <v>1629</v>
      </c>
      <c r="I4" s="574" t="s">
        <v>3436</v>
      </c>
      <c r="J4" s="575" t="s">
        <v>1617</v>
      </c>
      <c r="K4" s="3961" t="s">
        <v>81</v>
      </c>
      <c r="L4" s="3961"/>
      <c r="M4" s="3961"/>
      <c r="N4" s="3962"/>
      <c r="O4" s="148" t="s">
        <v>905</v>
      </c>
      <c r="P4" s="8"/>
    </row>
    <row r="5" spans="2:16">
      <c r="B5" s="9" t="s">
        <v>906</v>
      </c>
      <c r="C5" s="537" t="s">
        <v>2447</v>
      </c>
      <c r="D5" s="573" t="s">
        <v>1835</v>
      </c>
      <c r="E5" s="573" t="s">
        <v>1836</v>
      </c>
      <c r="F5" s="53" t="s">
        <v>5004</v>
      </c>
      <c r="G5" s="305"/>
      <c r="H5" s="576" t="s">
        <v>3435</v>
      </c>
      <c r="I5" s="576" t="s">
        <v>3507</v>
      </c>
      <c r="J5" s="577" t="s">
        <v>1618</v>
      </c>
      <c r="K5" s="58" t="s">
        <v>1712</v>
      </c>
      <c r="L5" s="9"/>
      <c r="M5" s="7"/>
      <c r="N5" s="7"/>
      <c r="O5" s="7"/>
    </row>
    <row r="6" spans="2:16">
      <c r="B6" s="9">
        <v>1</v>
      </c>
      <c r="C6" s="9">
        <v>1</v>
      </c>
      <c r="D6" s="53">
        <v>101</v>
      </c>
      <c r="E6" s="53" t="s">
        <v>2270</v>
      </c>
      <c r="F6" s="54" t="s">
        <v>206</v>
      </c>
      <c r="G6" s="7"/>
      <c r="H6" s="53"/>
      <c r="I6" s="560"/>
      <c r="J6" s="571"/>
      <c r="K6" s="9"/>
      <c r="L6" s="9"/>
      <c r="M6" s="7"/>
      <c r="N6" s="7"/>
      <c r="O6" s="7"/>
    </row>
    <row r="7" spans="2:16">
      <c r="B7" s="9">
        <v>2</v>
      </c>
      <c r="C7" s="9">
        <v>2</v>
      </c>
      <c r="D7" s="9">
        <v>102</v>
      </c>
      <c r="E7" s="9" t="s">
        <v>3700</v>
      </c>
      <c r="F7" s="7" t="s">
        <v>206</v>
      </c>
      <c r="G7" s="7"/>
      <c r="H7" s="9"/>
      <c r="I7" s="85"/>
      <c r="J7" s="467"/>
      <c r="K7" s="9"/>
      <c r="L7" s="9"/>
      <c r="M7" s="7"/>
      <c r="N7" s="7"/>
      <c r="O7" s="7"/>
    </row>
    <row r="8" spans="2:16">
      <c r="B8" s="9">
        <v>3</v>
      </c>
      <c r="C8" s="9">
        <v>3</v>
      </c>
      <c r="D8" s="9">
        <v>103</v>
      </c>
      <c r="E8" s="9" t="s">
        <v>3701</v>
      </c>
      <c r="F8" s="7" t="s">
        <v>206</v>
      </c>
      <c r="G8" s="7"/>
      <c r="H8" s="9"/>
      <c r="I8" s="85"/>
      <c r="J8" s="467"/>
      <c r="K8" s="9"/>
      <c r="L8" s="9"/>
      <c r="M8" s="7"/>
      <c r="N8" s="7"/>
      <c r="O8" s="7"/>
    </row>
    <row r="9" spans="2:16">
      <c r="B9" s="9">
        <v>4</v>
      </c>
      <c r="C9" s="543"/>
      <c r="D9" s="543">
        <v>104</v>
      </c>
      <c r="E9" s="543" t="s">
        <v>671</v>
      </c>
      <c r="F9" s="7" t="s">
        <v>206</v>
      </c>
      <c r="G9" s="7"/>
      <c r="H9" s="9"/>
      <c r="I9" s="85"/>
      <c r="J9" s="467"/>
      <c r="K9" s="9"/>
      <c r="L9" s="9"/>
      <c r="M9" s="7"/>
      <c r="N9" s="7"/>
      <c r="O9" s="542" t="s">
        <v>1353</v>
      </c>
    </row>
    <row r="10" spans="2:16">
      <c r="B10" s="9">
        <v>5</v>
      </c>
      <c r="C10" s="9">
        <v>4</v>
      </c>
      <c r="D10" s="9">
        <v>105</v>
      </c>
      <c r="E10" s="9" t="s">
        <v>672</v>
      </c>
      <c r="F10" s="7" t="s">
        <v>206</v>
      </c>
      <c r="G10" s="7"/>
      <c r="H10" s="9"/>
      <c r="I10" s="85"/>
      <c r="J10" s="467"/>
      <c r="K10" s="9"/>
      <c r="L10" s="9"/>
      <c r="M10" s="7"/>
      <c r="N10" s="7"/>
      <c r="O10" s="7"/>
    </row>
    <row r="11" spans="2:16">
      <c r="B11" s="9">
        <v>6</v>
      </c>
      <c r="C11" s="9">
        <v>5</v>
      </c>
      <c r="D11" s="9">
        <v>106</v>
      </c>
      <c r="E11" s="9" t="s">
        <v>3798</v>
      </c>
      <c r="F11" s="7" t="s">
        <v>206</v>
      </c>
      <c r="G11" s="7"/>
      <c r="H11" s="9"/>
      <c r="I11" s="85"/>
      <c r="J11" s="467"/>
      <c r="K11" s="9"/>
      <c r="L11" s="9"/>
      <c r="M11" s="7"/>
      <c r="N11" s="7"/>
      <c r="O11" s="7"/>
    </row>
    <row r="12" spans="2:16">
      <c r="B12" s="9">
        <v>7</v>
      </c>
      <c r="C12" s="543"/>
      <c r="D12" s="543">
        <v>107</v>
      </c>
      <c r="E12" s="543" t="s">
        <v>3799</v>
      </c>
      <c r="F12" s="7" t="s">
        <v>206</v>
      </c>
      <c r="G12" s="7"/>
      <c r="H12" s="9"/>
      <c r="I12" s="85"/>
      <c r="J12" s="467"/>
      <c r="K12" s="9"/>
      <c r="L12" s="9"/>
      <c r="M12" s="7"/>
      <c r="N12" s="7"/>
      <c r="O12" s="542" t="s">
        <v>533</v>
      </c>
    </row>
    <row r="13" spans="2:16">
      <c r="B13" s="9">
        <v>8</v>
      </c>
      <c r="C13" s="9">
        <v>6</v>
      </c>
      <c r="D13" s="9">
        <v>108</v>
      </c>
      <c r="E13" s="9" t="s">
        <v>3800</v>
      </c>
      <c r="F13" s="7" t="s">
        <v>206</v>
      </c>
      <c r="G13" s="7"/>
      <c r="H13" s="9"/>
      <c r="I13" s="85"/>
      <c r="J13" s="467"/>
      <c r="K13" s="9"/>
      <c r="L13" s="9"/>
      <c r="M13" s="7"/>
      <c r="N13" s="7"/>
      <c r="O13" s="7"/>
    </row>
    <row r="14" spans="2:16">
      <c r="B14" s="9">
        <v>9</v>
      </c>
      <c r="C14" s="9">
        <v>7</v>
      </c>
      <c r="D14" s="9">
        <v>109</v>
      </c>
      <c r="E14" s="9" t="s">
        <v>4372</v>
      </c>
      <c r="F14" s="7" t="s">
        <v>206</v>
      </c>
      <c r="G14" s="7"/>
      <c r="H14" s="9"/>
      <c r="I14" s="85"/>
      <c r="J14" s="467"/>
      <c r="K14" s="9"/>
      <c r="L14" s="9"/>
      <c r="M14" s="7"/>
      <c r="N14" s="7"/>
      <c r="O14" s="7"/>
    </row>
    <row r="15" spans="2:16">
      <c r="B15" s="9">
        <v>10</v>
      </c>
      <c r="C15" s="9">
        <v>8</v>
      </c>
      <c r="D15" s="9">
        <v>110</v>
      </c>
      <c r="E15" s="9" t="s">
        <v>4373</v>
      </c>
      <c r="F15" s="7" t="s">
        <v>206</v>
      </c>
      <c r="G15" s="7"/>
      <c r="H15" s="9"/>
      <c r="I15" s="85"/>
      <c r="J15" s="467"/>
      <c r="K15" s="9"/>
      <c r="L15" s="9"/>
      <c r="M15" s="7"/>
      <c r="N15" s="7"/>
      <c r="O15" s="7"/>
    </row>
    <row r="16" spans="2:16">
      <c r="B16" s="9">
        <v>11</v>
      </c>
      <c r="C16" s="9">
        <v>9</v>
      </c>
      <c r="D16" s="9">
        <v>111</v>
      </c>
      <c r="E16" s="9" t="s">
        <v>4926</v>
      </c>
      <c r="F16" s="7" t="s">
        <v>206</v>
      </c>
      <c r="G16" s="7"/>
      <c r="H16" s="9"/>
      <c r="I16" s="85"/>
      <c r="J16" s="467"/>
      <c r="K16" s="9"/>
      <c r="L16" s="9"/>
      <c r="M16" s="7"/>
      <c r="N16" s="7"/>
      <c r="O16" s="7"/>
    </row>
    <row r="17" spans="2:15">
      <c r="B17" s="9">
        <v>12</v>
      </c>
      <c r="C17" s="543"/>
      <c r="D17" s="543">
        <v>112</v>
      </c>
      <c r="E17" s="543" t="s">
        <v>4927</v>
      </c>
      <c r="F17" s="7" t="s">
        <v>206</v>
      </c>
      <c r="G17" s="7"/>
      <c r="H17" s="9"/>
      <c r="I17" s="85"/>
      <c r="J17" s="467"/>
      <c r="K17" s="9"/>
      <c r="L17" s="9"/>
      <c r="M17" s="7"/>
      <c r="N17" s="7"/>
      <c r="O17" s="542" t="s">
        <v>532</v>
      </c>
    </row>
    <row r="18" spans="2:15">
      <c r="B18" s="9">
        <v>13</v>
      </c>
      <c r="C18" s="543"/>
      <c r="D18" s="543">
        <v>113</v>
      </c>
      <c r="E18" s="543" t="s">
        <v>4928</v>
      </c>
      <c r="F18" s="7" t="s">
        <v>206</v>
      </c>
      <c r="G18" s="7"/>
      <c r="H18" s="9"/>
      <c r="I18" s="85"/>
      <c r="J18" s="467"/>
      <c r="K18" s="9"/>
      <c r="L18" s="9"/>
      <c r="M18" s="7"/>
      <c r="N18" s="7"/>
      <c r="O18" s="542" t="s">
        <v>533</v>
      </c>
    </row>
    <row r="19" spans="2:15">
      <c r="B19" s="9">
        <v>14</v>
      </c>
      <c r="C19" s="9">
        <v>10</v>
      </c>
      <c r="D19" s="9">
        <v>114</v>
      </c>
      <c r="E19" s="9" t="s">
        <v>1257</v>
      </c>
      <c r="F19" s="7" t="s">
        <v>206</v>
      </c>
      <c r="G19" s="7"/>
      <c r="H19" s="9"/>
      <c r="I19" s="85"/>
      <c r="J19" s="467"/>
      <c r="K19" s="9"/>
      <c r="L19" s="9"/>
      <c r="M19" s="7"/>
      <c r="N19" s="7"/>
      <c r="O19" s="7"/>
    </row>
    <row r="20" spans="2:15">
      <c r="B20" s="9">
        <v>15</v>
      </c>
      <c r="C20" s="543"/>
      <c r="D20" s="543">
        <v>115</v>
      </c>
      <c r="E20" s="543" t="s">
        <v>1258</v>
      </c>
      <c r="F20" s="7" t="s">
        <v>206</v>
      </c>
      <c r="G20" s="7"/>
      <c r="H20" s="9"/>
      <c r="I20" s="85"/>
      <c r="J20" s="467"/>
      <c r="K20" s="9"/>
      <c r="L20" s="9"/>
      <c r="M20" s="7"/>
      <c r="N20" s="7"/>
      <c r="O20" s="542" t="s">
        <v>725</v>
      </c>
    </row>
    <row r="21" spans="2:15">
      <c r="B21" s="9">
        <v>16</v>
      </c>
      <c r="C21" s="9">
        <v>11</v>
      </c>
      <c r="D21" s="9">
        <v>116</v>
      </c>
      <c r="E21" s="9" t="s">
        <v>1259</v>
      </c>
      <c r="F21" s="7" t="s">
        <v>206</v>
      </c>
      <c r="G21" s="7"/>
      <c r="H21" s="9"/>
      <c r="I21" s="85"/>
      <c r="J21" s="467" t="s">
        <v>2937</v>
      </c>
      <c r="K21" s="579">
        <v>39673</v>
      </c>
      <c r="L21" s="9"/>
      <c r="M21" s="7"/>
      <c r="N21" s="7"/>
      <c r="O21" s="7"/>
    </row>
    <row r="22" spans="2:15">
      <c r="B22" s="9">
        <v>17</v>
      </c>
      <c r="C22" s="9">
        <v>12</v>
      </c>
      <c r="D22" s="9">
        <v>117</v>
      </c>
      <c r="E22" s="9" t="s">
        <v>2133</v>
      </c>
      <c r="F22" s="7" t="s">
        <v>206</v>
      </c>
      <c r="G22" s="7"/>
      <c r="H22" s="9"/>
      <c r="I22" s="85"/>
      <c r="J22" s="467"/>
      <c r="K22" s="9"/>
      <c r="L22" s="9"/>
      <c r="M22" s="7"/>
      <c r="N22" s="7"/>
      <c r="O22" s="7"/>
    </row>
    <row r="23" spans="2:15">
      <c r="B23" s="9">
        <v>18</v>
      </c>
      <c r="C23" s="9">
        <v>12</v>
      </c>
      <c r="D23" s="9">
        <v>118</v>
      </c>
      <c r="E23" s="9" t="s">
        <v>4889</v>
      </c>
      <c r="F23" s="7" t="s">
        <v>206</v>
      </c>
      <c r="G23" s="7"/>
      <c r="H23" s="9"/>
      <c r="I23" s="85"/>
      <c r="J23" s="467"/>
      <c r="K23" s="9"/>
      <c r="L23" s="9"/>
      <c r="M23" s="7"/>
      <c r="N23" s="7"/>
      <c r="O23" s="7"/>
    </row>
    <row r="24" spans="2:15">
      <c r="B24" s="9">
        <v>19</v>
      </c>
      <c r="C24" s="9">
        <v>14</v>
      </c>
      <c r="D24" s="9">
        <v>119</v>
      </c>
      <c r="E24" s="9" t="s">
        <v>4890</v>
      </c>
      <c r="F24" s="7" t="s">
        <v>206</v>
      </c>
      <c r="G24" s="7"/>
      <c r="H24" s="9"/>
      <c r="I24" s="85"/>
      <c r="J24" s="467"/>
      <c r="K24" s="9"/>
      <c r="L24" s="9"/>
      <c r="M24" s="7"/>
      <c r="N24" s="7"/>
      <c r="O24" s="7"/>
    </row>
    <row r="25" spans="2:15">
      <c r="B25" s="9">
        <v>20</v>
      </c>
      <c r="C25" s="543"/>
      <c r="D25" s="543">
        <v>120</v>
      </c>
      <c r="E25" s="543" t="s">
        <v>4891</v>
      </c>
      <c r="F25" s="7" t="s">
        <v>206</v>
      </c>
      <c r="G25" s="7"/>
      <c r="H25" s="9"/>
      <c r="I25" s="85"/>
      <c r="J25" s="467"/>
      <c r="K25" s="9"/>
      <c r="L25" s="9"/>
      <c r="M25" s="7"/>
      <c r="N25" s="7"/>
      <c r="O25" s="542" t="s">
        <v>4254</v>
      </c>
    </row>
    <row r="26" spans="2:15">
      <c r="B26" s="9">
        <v>21</v>
      </c>
      <c r="C26" s="9">
        <v>15</v>
      </c>
      <c r="D26" s="9">
        <v>121</v>
      </c>
      <c r="E26" s="9" t="s">
        <v>4012</v>
      </c>
      <c r="F26" s="7" t="s">
        <v>206</v>
      </c>
      <c r="G26" s="7"/>
      <c r="H26" s="9"/>
      <c r="I26" s="85"/>
      <c r="J26" s="467"/>
      <c r="K26" s="9"/>
      <c r="L26" s="9"/>
      <c r="M26" s="7"/>
      <c r="N26" s="7"/>
      <c r="O26" s="7"/>
    </row>
    <row r="27" spans="2:15">
      <c r="B27" s="9">
        <v>22</v>
      </c>
      <c r="C27" s="9">
        <v>16</v>
      </c>
      <c r="D27" s="9">
        <v>122</v>
      </c>
      <c r="E27" s="9" t="s">
        <v>1444</v>
      </c>
      <c r="F27" s="7" t="s">
        <v>206</v>
      </c>
      <c r="G27" s="7"/>
      <c r="H27" s="9"/>
      <c r="I27" s="85"/>
      <c r="J27" s="467"/>
      <c r="K27" s="9"/>
      <c r="L27" s="9"/>
      <c r="M27" s="7"/>
      <c r="N27" s="7"/>
      <c r="O27" s="7"/>
    </row>
    <row r="28" spans="2:15">
      <c r="B28" s="9">
        <v>23</v>
      </c>
      <c r="C28" s="9">
        <v>17</v>
      </c>
      <c r="D28" s="9">
        <v>123</v>
      </c>
      <c r="E28" s="9" t="s">
        <v>813</v>
      </c>
      <c r="F28" s="7" t="s">
        <v>206</v>
      </c>
      <c r="G28" s="7"/>
      <c r="H28" s="9"/>
      <c r="I28" s="85"/>
      <c r="J28" s="467"/>
      <c r="K28" s="9"/>
      <c r="L28" s="9"/>
      <c r="M28" s="7"/>
      <c r="N28" s="7"/>
      <c r="O28" s="7"/>
    </row>
    <row r="29" spans="2:15">
      <c r="B29" s="9">
        <v>24</v>
      </c>
      <c r="C29" s="9">
        <v>18</v>
      </c>
      <c r="D29" s="9">
        <v>124</v>
      </c>
      <c r="E29" s="9" t="s">
        <v>814</v>
      </c>
      <c r="F29" s="7" t="s">
        <v>206</v>
      </c>
      <c r="G29" s="7"/>
      <c r="H29" s="9"/>
      <c r="I29" s="85"/>
      <c r="J29" s="467"/>
      <c r="K29" s="9"/>
      <c r="L29" s="9"/>
      <c r="M29" s="7"/>
      <c r="N29" s="7"/>
      <c r="O29" s="7"/>
    </row>
    <row r="30" spans="2:15">
      <c r="B30" s="212">
        <v>25</v>
      </c>
      <c r="C30" s="556"/>
      <c r="D30" s="556">
        <v>214</v>
      </c>
      <c r="E30" s="556"/>
      <c r="F30" s="557" t="s">
        <v>206</v>
      </c>
      <c r="G30" s="557"/>
      <c r="H30" s="212"/>
      <c r="I30" s="558"/>
      <c r="J30" s="569"/>
      <c r="K30" s="212"/>
      <c r="L30" s="212"/>
      <c r="M30" s="557"/>
      <c r="N30" s="557"/>
      <c r="O30" s="559" t="s">
        <v>897</v>
      </c>
    </row>
    <row r="31" spans="2:15" s="96" customFormat="1" ht="17.25" customHeight="1">
      <c r="B31" s="562" t="s">
        <v>2835</v>
      </c>
      <c r="C31" s="563"/>
      <c r="D31" s="563"/>
      <c r="E31" s="563"/>
      <c r="F31" s="564"/>
      <c r="G31" s="564"/>
      <c r="H31" s="563"/>
      <c r="I31" s="565"/>
      <c r="J31" s="570"/>
      <c r="K31" s="578"/>
      <c r="L31" s="578"/>
      <c r="M31" s="566"/>
      <c r="N31" s="566"/>
      <c r="O31" s="567"/>
    </row>
    <row r="32" spans="2:15">
      <c r="B32" s="53">
        <v>26</v>
      </c>
      <c r="C32" s="53">
        <v>19</v>
      </c>
      <c r="D32" s="560">
        <v>151</v>
      </c>
      <c r="E32" s="561" t="s">
        <v>815</v>
      </c>
      <c r="F32" s="54" t="s">
        <v>206</v>
      </c>
      <c r="G32" s="54"/>
      <c r="H32" s="53"/>
      <c r="I32" s="560" t="s">
        <v>205</v>
      </c>
      <c r="J32" s="571"/>
      <c r="K32" s="53"/>
      <c r="L32" s="53"/>
      <c r="M32" s="54"/>
      <c r="N32" s="54"/>
      <c r="O32" s="54"/>
    </row>
    <row r="33" spans="2:15">
      <c r="B33" s="9">
        <v>27</v>
      </c>
      <c r="C33" s="9">
        <v>20</v>
      </c>
      <c r="D33" s="85">
        <v>152</v>
      </c>
      <c r="E33" s="544" t="s">
        <v>816</v>
      </c>
      <c r="F33" s="7" t="s">
        <v>206</v>
      </c>
      <c r="G33" s="7"/>
      <c r="H33" s="9"/>
      <c r="I33" s="85" t="s">
        <v>205</v>
      </c>
      <c r="J33" s="467" t="s">
        <v>2938</v>
      </c>
      <c r="K33" s="579">
        <v>39673</v>
      </c>
      <c r="L33" s="9"/>
      <c r="M33" s="7"/>
      <c r="N33" s="7"/>
      <c r="O33" s="7"/>
    </row>
    <row r="34" spans="2:15">
      <c r="B34" s="9">
        <v>28</v>
      </c>
      <c r="C34" s="9">
        <v>21</v>
      </c>
      <c r="D34" s="85">
        <v>153</v>
      </c>
      <c r="E34" s="544" t="s">
        <v>2837</v>
      </c>
      <c r="F34" s="545" t="s">
        <v>206</v>
      </c>
      <c r="G34" s="545"/>
      <c r="H34" s="546">
        <v>1</v>
      </c>
      <c r="I34" s="547" t="s">
        <v>205</v>
      </c>
      <c r="J34" s="467" t="s">
        <v>2939</v>
      </c>
      <c r="K34" s="579">
        <v>39673</v>
      </c>
      <c r="L34" s="9"/>
      <c r="M34" s="7"/>
      <c r="N34" s="7"/>
      <c r="O34" s="7"/>
    </row>
    <row r="35" spans="2:15">
      <c r="B35" s="9">
        <v>29</v>
      </c>
      <c r="C35" s="9">
        <v>22</v>
      </c>
      <c r="D35" s="548">
        <v>154</v>
      </c>
      <c r="E35" s="549" t="s">
        <v>1555</v>
      </c>
      <c r="F35" s="7" t="s">
        <v>206</v>
      </c>
      <c r="G35" s="7"/>
      <c r="H35" s="9"/>
      <c r="I35" s="85"/>
      <c r="J35" s="580" t="s">
        <v>3863</v>
      </c>
      <c r="K35" s="543"/>
      <c r="L35" s="9"/>
      <c r="M35" s="7"/>
      <c r="N35" s="7"/>
      <c r="O35" s="550" t="s">
        <v>1873</v>
      </c>
    </row>
    <row r="36" spans="2:15">
      <c r="B36" s="9">
        <v>30</v>
      </c>
      <c r="C36" s="9">
        <v>23</v>
      </c>
      <c r="D36" s="85">
        <v>155</v>
      </c>
      <c r="E36" s="544" t="s">
        <v>129</v>
      </c>
      <c r="F36" s="7" t="s">
        <v>206</v>
      </c>
      <c r="G36" s="7"/>
      <c r="H36" s="9"/>
      <c r="I36" s="85" t="s">
        <v>205</v>
      </c>
      <c r="J36" s="467"/>
      <c r="K36" s="9"/>
      <c r="L36" s="9"/>
      <c r="M36" s="7"/>
      <c r="N36" s="7"/>
      <c r="O36" s="7"/>
    </row>
    <row r="37" spans="2:15">
      <c r="B37" s="9">
        <v>31</v>
      </c>
      <c r="C37" s="9">
        <v>24</v>
      </c>
      <c r="D37" s="85">
        <v>156</v>
      </c>
      <c r="E37" s="544" t="s">
        <v>130</v>
      </c>
      <c r="F37" s="545" t="s">
        <v>206</v>
      </c>
      <c r="G37" s="545"/>
      <c r="H37" s="546">
        <v>2</v>
      </c>
      <c r="I37" s="85" t="s">
        <v>205</v>
      </c>
      <c r="J37" s="467" t="s">
        <v>79</v>
      </c>
      <c r="K37" s="579">
        <v>39673</v>
      </c>
      <c r="L37" s="9"/>
      <c r="M37" s="7"/>
      <c r="N37" s="7"/>
      <c r="O37" s="7"/>
    </row>
    <row r="38" spans="2:15">
      <c r="B38" s="9">
        <v>32</v>
      </c>
      <c r="C38" s="9">
        <v>25</v>
      </c>
      <c r="D38" s="548">
        <v>157</v>
      </c>
      <c r="E38" s="549" t="s">
        <v>131</v>
      </c>
      <c r="F38" s="7" t="s">
        <v>206</v>
      </c>
      <c r="G38" s="7"/>
      <c r="H38" s="9"/>
      <c r="I38" s="568" t="s">
        <v>329</v>
      </c>
      <c r="J38" s="467"/>
      <c r="K38" s="9"/>
      <c r="L38" s="9"/>
      <c r="M38" s="7"/>
      <c r="N38" s="7"/>
      <c r="O38" s="551" t="s">
        <v>1001</v>
      </c>
    </row>
    <row r="39" spans="2:15">
      <c r="B39" s="9">
        <v>33</v>
      </c>
      <c r="C39" s="9">
        <v>26</v>
      </c>
      <c r="D39" s="548">
        <v>158</v>
      </c>
      <c r="E39" s="549" t="s">
        <v>132</v>
      </c>
      <c r="F39" s="7" t="s">
        <v>206</v>
      </c>
      <c r="G39" s="7"/>
      <c r="H39" s="9"/>
      <c r="I39" s="85"/>
      <c r="J39" s="467"/>
      <c r="K39" s="9"/>
      <c r="L39" s="9"/>
      <c r="M39" s="7"/>
      <c r="N39" s="7"/>
      <c r="O39" s="551" t="s">
        <v>2331</v>
      </c>
    </row>
    <row r="40" spans="2:15">
      <c r="B40" s="9">
        <v>34</v>
      </c>
      <c r="C40" s="9">
        <v>27</v>
      </c>
      <c r="D40" s="548">
        <v>159</v>
      </c>
      <c r="E40" s="549" t="s">
        <v>1115</v>
      </c>
      <c r="F40" s="545" t="s">
        <v>206</v>
      </c>
      <c r="G40" s="7"/>
      <c r="H40" s="9">
        <v>3</v>
      </c>
      <c r="I40" s="568" t="s">
        <v>4831</v>
      </c>
      <c r="J40" s="467"/>
      <c r="K40" s="9"/>
      <c r="L40" s="9"/>
      <c r="M40" s="7"/>
      <c r="N40" s="7"/>
      <c r="O40" s="552" t="s">
        <v>2332</v>
      </c>
    </row>
    <row r="41" spans="2:15">
      <c r="B41" s="9">
        <v>35</v>
      </c>
      <c r="C41" s="9">
        <v>28</v>
      </c>
      <c r="D41" s="85">
        <v>160</v>
      </c>
      <c r="E41" s="544" t="s">
        <v>1116</v>
      </c>
      <c r="F41" s="545" t="s">
        <v>206</v>
      </c>
      <c r="G41" s="545"/>
      <c r="H41" s="546">
        <v>4</v>
      </c>
      <c r="I41" s="85" t="s">
        <v>205</v>
      </c>
      <c r="J41" s="467" t="s">
        <v>3613</v>
      </c>
      <c r="K41" s="579">
        <v>39673</v>
      </c>
      <c r="L41" s="9"/>
      <c r="M41" s="7"/>
      <c r="N41" s="7"/>
      <c r="O41" s="7"/>
    </row>
    <row r="42" spans="2:15">
      <c r="B42" s="9">
        <v>36</v>
      </c>
      <c r="C42" s="9">
        <v>29</v>
      </c>
      <c r="D42" s="547">
        <v>161</v>
      </c>
      <c r="E42" s="544" t="s">
        <v>1117</v>
      </c>
      <c r="F42" s="553" t="s">
        <v>206</v>
      </c>
      <c r="G42" s="553"/>
      <c r="H42" s="554">
        <v>5</v>
      </c>
      <c r="I42" s="85" t="s">
        <v>205</v>
      </c>
      <c r="J42" s="467"/>
      <c r="K42" s="9"/>
      <c r="L42" s="9"/>
      <c r="M42" s="7"/>
      <c r="N42" s="7"/>
      <c r="O42" s="7"/>
    </row>
    <row r="43" spans="2:15">
      <c r="B43" s="9">
        <v>37</v>
      </c>
      <c r="C43" s="9">
        <v>30</v>
      </c>
      <c r="D43" s="548">
        <v>162</v>
      </c>
      <c r="E43" s="549" t="s">
        <v>4654</v>
      </c>
      <c r="F43" s="545" t="s">
        <v>206</v>
      </c>
      <c r="G43" s="7"/>
      <c r="H43" s="9">
        <v>6</v>
      </c>
      <c r="I43" s="85"/>
      <c r="J43" s="467"/>
      <c r="K43" s="9"/>
      <c r="L43" s="9"/>
      <c r="M43" s="7"/>
      <c r="N43" s="7"/>
      <c r="O43" s="555" t="s">
        <v>4483</v>
      </c>
    </row>
    <row r="44" spans="2:15">
      <c r="B44" s="9">
        <v>38</v>
      </c>
      <c r="C44" s="9">
        <v>31</v>
      </c>
      <c r="D44" s="85">
        <v>163</v>
      </c>
      <c r="E44" s="544" t="s">
        <v>4655</v>
      </c>
      <c r="F44" s="7" t="s">
        <v>206</v>
      </c>
      <c r="G44" s="7"/>
      <c r="H44" s="9"/>
      <c r="I44" s="85" t="s">
        <v>205</v>
      </c>
      <c r="J44" s="467"/>
      <c r="K44" s="9"/>
      <c r="L44" s="9"/>
      <c r="M44" s="7"/>
      <c r="N44" s="7"/>
      <c r="O44" s="7"/>
    </row>
    <row r="45" spans="2:15">
      <c r="B45" s="9">
        <v>39</v>
      </c>
      <c r="C45" s="9">
        <v>32</v>
      </c>
      <c r="D45" s="85">
        <v>164</v>
      </c>
      <c r="E45" s="544" t="s">
        <v>4656</v>
      </c>
      <c r="F45" s="545" t="s">
        <v>206</v>
      </c>
      <c r="G45" s="7"/>
      <c r="H45" s="9">
        <v>7</v>
      </c>
      <c r="I45" s="85" t="s">
        <v>205</v>
      </c>
      <c r="J45" s="467" t="s">
        <v>3614</v>
      </c>
      <c r="K45" s="579">
        <v>39673</v>
      </c>
      <c r="L45" s="9"/>
      <c r="M45" s="7"/>
      <c r="N45" s="7"/>
      <c r="O45" s="7"/>
    </row>
    <row r="46" spans="2:15">
      <c r="B46" s="9">
        <v>40</v>
      </c>
      <c r="C46" s="9">
        <v>33</v>
      </c>
      <c r="D46" s="85">
        <v>165</v>
      </c>
      <c r="E46" s="544" t="s">
        <v>4657</v>
      </c>
      <c r="F46" s="7" t="s">
        <v>206</v>
      </c>
      <c r="G46" s="7"/>
      <c r="H46" s="9"/>
      <c r="I46" s="85" t="s">
        <v>205</v>
      </c>
      <c r="J46" s="467" t="s">
        <v>3615</v>
      </c>
      <c r="K46" s="579">
        <v>39673</v>
      </c>
      <c r="L46" s="9"/>
      <c r="M46" s="7"/>
      <c r="N46" s="7"/>
      <c r="O46" s="7"/>
    </row>
    <row r="47" spans="2:15">
      <c r="B47" s="9">
        <v>41</v>
      </c>
      <c r="C47" s="9">
        <v>34</v>
      </c>
      <c r="D47" s="85">
        <v>166</v>
      </c>
      <c r="E47" s="544" t="s">
        <v>900</v>
      </c>
      <c r="F47" s="7" t="s">
        <v>206</v>
      </c>
      <c r="G47" s="7"/>
      <c r="H47" s="9"/>
      <c r="I47" s="85" t="s">
        <v>205</v>
      </c>
      <c r="J47" s="467" t="s">
        <v>3616</v>
      </c>
      <c r="K47" s="579">
        <v>39673</v>
      </c>
      <c r="L47" s="9"/>
      <c r="M47" s="7"/>
      <c r="N47" s="7"/>
      <c r="O47" s="7"/>
    </row>
    <row r="48" spans="2:15">
      <c r="B48" s="9">
        <v>42</v>
      </c>
      <c r="C48" s="9">
        <v>35</v>
      </c>
      <c r="D48" s="85">
        <v>167</v>
      </c>
      <c r="E48" s="544" t="s">
        <v>901</v>
      </c>
      <c r="F48" s="545" t="s">
        <v>206</v>
      </c>
      <c r="G48" s="7"/>
      <c r="H48" s="9">
        <v>8</v>
      </c>
      <c r="I48" s="85" t="s">
        <v>205</v>
      </c>
      <c r="J48" s="467" t="s">
        <v>3617</v>
      </c>
      <c r="K48" s="579">
        <v>39673</v>
      </c>
      <c r="L48" s="9"/>
      <c r="M48" s="7"/>
      <c r="N48" s="7"/>
      <c r="O48" s="7"/>
    </row>
    <row r="49" spans="2:15">
      <c r="B49" s="9">
        <v>43</v>
      </c>
      <c r="C49" s="9">
        <v>36</v>
      </c>
      <c r="D49" s="547">
        <v>168</v>
      </c>
      <c r="E49" s="544" t="s">
        <v>902</v>
      </c>
      <c r="F49" s="553" t="s">
        <v>206</v>
      </c>
      <c r="G49" s="7"/>
      <c r="H49" s="9"/>
      <c r="I49" s="85" t="s">
        <v>205</v>
      </c>
      <c r="J49" s="467"/>
      <c r="K49" s="9"/>
      <c r="L49" s="9"/>
      <c r="M49" s="7"/>
      <c r="N49" s="7"/>
      <c r="O49" s="7"/>
    </row>
    <row r="50" spans="2:15">
      <c r="B50" s="9">
        <v>44</v>
      </c>
      <c r="C50" s="9">
        <v>37</v>
      </c>
      <c r="D50" s="85">
        <v>169</v>
      </c>
      <c r="E50" s="544" t="s">
        <v>903</v>
      </c>
      <c r="F50" s="545" t="s">
        <v>206</v>
      </c>
      <c r="G50" s="7"/>
      <c r="H50" s="9">
        <v>9</v>
      </c>
      <c r="I50" s="85" t="s">
        <v>205</v>
      </c>
      <c r="J50" s="467" t="s">
        <v>4586</v>
      </c>
      <c r="K50" s="579">
        <v>39673</v>
      </c>
      <c r="L50" s="9"/>
      <c r="M50" s="7"/>
      <c r="N50" s="7"/>
      <c r="O50" s="7"/>
    </row>
    <row r="51" spans="2:15">
      <c r="B51" s="9">
        <v>45</v>
      </c>
      <c r="C51" s="9">
        <v>38</v>
      </c>
      <c r="D51" s="547">
        <v>170</v>
      </c>
      <c r="E51" s="544" t="s">
        <v>904</v>
      </c>
      <c r="F51" s="553" t="s">
        <v>206</v>
      </c>
      <c r="G51" s="7"/>
      <c r="H51" s="9">
        <v>10</v>
      </c>
      <c r="I51" s="85" t="s">
        <v>205</v>
      </c>
      <c r="J51" s="467" t="s">
        <v>1357</v>
      </c>
      <c r="K51" s="579">
        <v>39673</v>
      </c>
      <c r="L51" s="9"/>
      <c r="M51" s="7"/>
      <c r="N51" s="7"/>
      <c r="O51" s="7"/>
    </row>
    <row r="52" spans="2:15">
      <c r="B52" s="562" t="s">
        <v>3090</v>
      </c>
      <c r="C52" s="9"/>
      <c r="D52" s="547"/>
      <c r="E52" s="544"/>
      <c r="F52" s="553"/>
      <c r="G52" s="7"/>
      <c r="H52" s="9"/>
      <c r="I52" s="85"/>
      <c r="J52" s="467"/>
      <c r="K52" s="9"/>
      <c r="L52" s="9"/>
      <c r="M52" s="7"/>
      <c r="N52" s="7"/>
      <c r="O52" s="7"/>
    </row>
    <row r="53" spans="2:15">
      <c r="B53" s="9"/>
      <c r="C53" s="9"/>
      <c r="D53" s="546">
        <v>200</v>
      </c>
      <c r="E53" s="9" t="s">
        <v>1269</v>
      </c>
      <c r="F53" s="553"/>
      <c r="G53" s="7"/>
      <c r="H53" s="9"/>
      <c r="I53" s="85"/>
      <c r="J53" s="467" t="s">
        <v>2929</v>
      </c>
      <c r="K53" s="579">
        <v>39673</v>
      </c>
      <c r="L53" s="9"/>
      <c r="M53" s="7"/>
      <c r="N53" s="7"/>
      <c r="O53" s="7"/>
    </row>
    <row r="54" spans="2:15">
      <c r="B54" s="9"/>
      <c r="C54" s="9"/>
      <c r="D54" s="546">
        <v>201</v>
      </c>
      <c r="E54" s="9" t="s">
        <v>58</v>
      </c>
      <c r="F54" s="553"/>
      <c r="G54" s="7"/>
      <c r="H54" s="9"/>
      <c r="I54" s="85"/>
      <c r="J54" s="467" t="s">
        <v>860</v>
      </c>
      <c r="K54" s="579">
        <v>39673</v>
      </c>
      <c r="L54" s="9"/>
      <c r="M54" s="7"/>
      <c r="N54" s="7"/>
      <c r="O54" s="7"/>
    </row>
    <row r="55" spans="2:15">
      <c r="B55" s="9"/>
      <c r="C55" s="9"/>
      <c r="D55" s="546">
        <v>202</v>
      </c>
      <c r="E55" s="9" t="s">
        <v>861</v>
      </c>
      <c r="F55" s="553"/>
      <c r="G55" s="7"/>
      <c r="H55" s="9"/>
      <c r="I55" s="85"/>
      <c r="J55" s="467" t="s">
        <v>2570</v>
      </c>
      <c r="K55" s="579">
        <v>39673</v>
      </c>
      <c r="L55" s="9"/>
      <c r="M55" s="7"/>
      <c r="N55" s="7"/>
      <c r="O55" s="7"/>
    </row>
    <row r="56" spans="2:15">
      <c r="B56" s="9"/>
      <c r="C56" s="9"/>
      <c r="D56" s="546">
        <v>203</v>
      </c>
      <c r="E56" s="9"/>
      <c r="F56" s="553"/>
      <c r="G56" s="7"/>
      <c r="H56" s="9"/>
      <c r="I56" s="85"/>
      <c r="J56" s="467"/>
      <c r="K56" s="9"/>
      <c r="L56" s="9"/>
      <c r="M56" s="7"/>
      <c r="N56" s="7"/>
      <c r="O56" s="7"/>
    </row>
    <row r="57" spans="2:15">
      <c r="B57" s="9"/>
      <c r="C57" s="9"/>
      <c r="D57" s="546">
        <v>204</v>
      </c>
      <c r="E57" s="9" t="s">
        <v>2666</v>
      </c>
      <c r="F57" s="553"/>
      <c r="G57" s="7"/>
      <c r="H57" s="9"/>
      <c r="I57" s="85"/>
      <c r="J57" s="467" t="s">
        <v>3539</v>
      </c>
      <c r="K57" s="579">
        <v>39673</v>
      </c>
      <c r="L57" s="9"/>
      <c r="M57" s="7"/>
      <c r="N57" s="7"/>
      <c r="O57" s="7"/>
    </row>
    <row r="58" spans="2:15">
      <c r="B58" s="9"/>
      <c r="C58" s="9"/>
      <c r="D58" s="546">
        <v>205</v>
      </c>
      <c r="E58" s="9"/>
      <c r="F58" s="553"/>
      <c r="G58" s="7"/>
      <c r="H58" s="9"/>
      <c r="I58" s="85"/>
      <c r="J58" s="467"/>
      <c r="K58" s="9"/>
      <c r="L58" s="9"/>
      <c r="M58" s="7"/>
      <c r="N58" s="7"/>
      <c r="O58" s="7"/>
    </row>
    <row r="59" spans="2:15">
      <c r="B59" s="9"/>
      <c r="C59" s="9"/>
      <c r="D59" s="546">
        <v>206</v>
      </c>
      <c r="E59" s="9"/>
      <c r="F59" s="553"/>
      <c r="G59" s="7"/>
      <c r="H59" s="9"/>
      <c r="I59" s="85"/>
      <c r="J59" s="467"/>
      <c r="K59" s="9"/>
      <c r="L59" s="9"/>
      <c r="M59" s="7"/>
      <c r="N59" s="7"/>
      <c r="O59" s="7"/>
    </row>
    <row r="60" spans="2:15">
      <c r="B60" s="9"/>
      <c r="C60" s="9"/>
      <c r="D60" s="546">
        <v>207</v>
      </c>
      <c r="E60" s="9" t="s">
        <v>1270</v>
      </c>
      <c r="F60" s="553"/>
      <c r="G60" s="7"/>
      <c r="H60" s="9"/>
      <c r="I60" s="85"/>
      <c r="J60" s="467" t="s">
        <v>2231</v>
      </c>
      <c r="K60" s="579">
        <v>39673</v>
      </c>
      <c r="L60" s="9"/>
      <c r="M60" s="7"/>
      <c r="N60" s="7"/>
      <c r="O60" s="7"/>
    </row>
    <row r="61" spans="2:15">
      <c r="B61" s="9"/>
      <c r="C61" s="9"/>
      <c r="D61" s="546">
        <v>208</v>
      </c>
      <c r="E61" s="9"/>
      <c r="F61" s="553"/>
      <c r="G61" s="7"/>
      <c r="H61" s="9"/>
      <c r="I61" s="85"/>
      <c r="J61" s="467"/>
      <c r="K61" s="9"/>
      <c r="L61" s="9"/>
      <c r="M61" s="7"/>
      <c r="N61" s="7"/>
      <c r="O61" s="7"/>
    </row>
    <row r="62" spans="2:15">
      <c r="B62" s="9"/>
      <c r="C62" s="9"/>
      <c r="D62" s="546">
        <v>209</v>
      </c>
      <c r="E62" s="9"/>
      <c r="F62" s="553"/>
      <c r="G62" s="7"/>
      <c r="H62" s="9"/>
      <c r="I62" s="85"/>
      <c r="J62" s="467"/>
      <c r="K62" s="9"/>
      <c r="L62" s="9"/>
      <c r="M62" s="7"/>
      <c r="N62" s="7"/>
      <c r="O62" s="7"/>
    </row>
    <row r="63" spans="2:15">
      <c r="B63" s="9"/>
      <c r="C63" s="9"/>
      <c r="D63" s="546">
        <v>210</v>
      </c>
      <c r="E63" s="9"/>
      <c r="F63" s="553"/>
      <c r="G63" s="7"/>
      <c r="H63" s="9"/>
      <c r="I63" s="85"/>
      <c r="J63" s="467"/>
      <c r="K63" s="9"/>
      <c r="L63" s="9"/>
      <c r="M63" s="7"/>
      <c r="N63" s="7"/>
      <c r="O63" s="7"/>
    </row>
    <row r="64" spans="2:15">
      <c r="B64" s="9"/>
      <c r="C64" s="9"/>
      <c r="D64" s="546">
        <v>211</v>
      </c>
      <c r="E64" s="9"/>
      <c r="F64" s="553"/>
      <c r="G64" s="7"/>
      <c r="H64" s="9"/>
      <c r="I64" s="85"/>
      <c r="J64" s="467"/>
      <c r="K64" s="9"/>
      <c r="L64" s="9"/>
      <c r="M64" s="7"/>
      <c r="N64" s="7"/>
      <c r="O64" s="7"/>
    </row>
    <row r="65" spans="2:15">
      <c r="B65" s="9"/>
      <c r="C65" s="9"/>
      <c r="D65" s="546">
        <v>212</v>
      </c>
      <c r="E65" s="9"/>
      <c r="F65" s="553"/>
      <c r="G65" s="7"/>
      <c r="H65" s="9"/>
      <c r="I65" s="85"/>
      <c r="J65" s="467"/>
      <c r="K65" s="9"/>
      <c r="L65" s="9"/>
      <c r="M65" s="7"/>
      <c r="N65" s="7"/>
      <c r="O65" s="7"/>
    </row>
    <row r="66" spans="2:15">
      <c r="B66" s="9"/>
      <c r="C66" s="9"/>
      <c r="D66" s="546">
        <v>213</v>
      </c>
      <c r="E66" s="9"/>
      <c r="F66" s="553"/>
      <c r="G66" s="7"/>
      <c r="H66" s="9"/>
      <c r="I66" s="85"/>
      <c r="J66" s="467"/>
      <c r="K66" s="9"/>
      <c r="L66" s="9"/>
      <c r="M66" s="7"/>
      <c r="N66" s="7"/>
      <c r="O66" s="7"/>
    </row>
    <row r="67" spans="2:15">
      <c r="B67" s="9"/>
      <c r="C67" s="9"/>
      <c r="D67" s="546">
        <v>214</v>
      </c>
      <c r="E67" s="9"/>
      <c r="F67" s="553"/>
      <c r="G67" s="7"/>
      <c r="H67" s="9"/>
      <c r="I67" s="85"/>
      <c r="J67" s="467"/>
      <c r="K67" s="9"/>
      <c r="L67" s="9"/>
      <c r="M67" s="7"/>
      <c r="N67" s="7"/>
      <c r="O67" s="7"/>
    </row>
    <row r="68" spans="2:15">
      <c r="B68" s="9"/>
      <c r="C68" s="9"/>
      <c r="D68" s="546">
        <v>215</v>
      </c>
      <c r="E68" s="9" t="s">
        <v>4360</v>
      </c>
      <c r="F68" s="553"/>
      <c r="G68" s="7"/>
      <c r="H68" s="9"/>
      <c r="I68" s="85"/>
      <c r="J68" s="467" t="s">
        <v>3752</v>
      </c>
      <c r="K68" s="579">
        <v>39673</v>
      </c>
      <c r="L68" s="9"/>
      <c r="M68" s="7"/>
      <c r="N68" s="7"/>
      <c r="O68" s="7"/>
    </row>
    <row r="69" spans="2:15">
      <c r="B69" s="9"/>
      <c r="C69" s="9"/>
      <c r="D69" s="546">
        <v>216</v>
      </c>
      <c r="E69" s="9"/>
      <c r="F69" s="553"/>
      <c r="G69" s="7"/>
      <c r="H69" s="9"/>
      <c r="I69" s="85"/>
      <c r="J69" s="467"/>
      <c r="K69" s="9"/>
      <c r="L69" s="9"/>
      <c r="M69" s="7"/>
      <c r="N69" s="7"/>
      <c r="O69" s="7"/>
    </row>
    <row r="70" spans="2:15">
      <c r="B70" s="9"/>
      <c r="C70" s="9"/>
      <c r="D70" s="546">
        <v>217</v>
      </c>
      <c r="E70" s="9"/>
      <c r="F70" s="553"/>
      <c r="G70" s="7"/>
      <c r="H70" s="9"/>
      <c r="I70" s="85"/>
      <c r="J70" s="467"/>
      <c r="K70" s="9"/>
      <c r="L70" s="9"/>
      <c r="M70" s="7"/>
      <c r="N70" s="7"/>
      <c r="O70" s="7"/>
    </row>
    <row r="71" spans="2:15">
      <c r="B71" s="9"/>
      <c r="C71" s="9"/>
      <c r="D71" s="546">
        <v>218</v>
      </c>
      <c r="E71" s="9" t="s">
        <v>3753</v>
      </c>
      <c r="F71" s="553"/>
      <c r="G71" s="7"/>
      <c r="H71" s="9"/>
      <c r="I71" s="85"/>
      <c r="J71" s="467" t="s">
        <v>3064</v>
      </c>
      <c r="K71" s="579">
        <v>39673</v>
      </c>
      <c r="L71" s="9"/>
      <c r="M71" s="7"/>
      <c r="N71" s="7"/>
      <c r="O71" s="7"/>
    </row>
    <row r="72" spans="2:15">
      <c r="B72" s="9"/>
      <c r="C72" s="9"/>
      <c r="D72" s="546">
        <v>219</v>
      </c>
      <c r="E72" s="9" t="s">
        <v>2101</v>
      </c>
      <c r="F72" s="553"/>
      <c r="G72" s="7"/>
      <c r="H72" s="9"/>
      <c r="I72" s="85"/>
      <c r="J72" s="467" t="s">
        <v>272</v>
      </c>
      <c r="K72" s="579">
        <v>39673</v>
      </c>
      <c r="L72" s="9"/>
      <c r="M72" s="7"/>
      <c r="N72" s="7"/>
      <c r="O72" s="7"/>
    </row>
    <row r="73" spans="2:15">
      <c r="B73" s="9"/>
      <c r="C73" s="9"/>
      <c r="D73" s="546">
        <v>220</v>
      </c>
      <c r="E73" s="9"/>
      <c r="F73" s="553"/>
      <c r="G73" s="7"/>
      <c r="H73" s="9"/>
      <c r="I73" s="85"/>
      <c r="J73" s="467"/>
      <c r="K73" s="9"/>
      <c r="L73" s="9"/>
      <c r="M73" s="7"/>
      <c r="N73" s="7"/>
      <c r="O73" s="7"/>
    </row>
    <row r="74" spans="2:15">
      <c r="B74" s="9"/>
      <c r="C74" s="9"/>
      <c r="D74" s="546">
        <v>221</v>
      </c>
      <c r="E74" s="9"/>
      <c r="F74" s="553"/>
      <c r="G74" s="7"/>
      <c r="H74" s="9"/>
      <c r="I74" s="85"/>
      <c r="J74" s="467"/>
      <c r="K74" s="9"/>
      <c r="L74" s="9"/>
      <c r="M74" s="7"/>
      <c r="N74" s="7"/>
      <c r="O74" s="7"/>
    </row>
    <row r="75" spans="2:15">
      <c r="B75" s="9"/>
      <c r="C75" s="9"/>
      <c r="D75" s="546">
        <v>222</v>
      </c>
      <c r="E75" s="9"/>
      <c r="F75" s="553"/>
      <c r="G75" s="7"/>
      <c r="H75" s="9"/>
      <c r="I75" s="85"/>
      <c r="J75" s="467"/>
      <c r="K75" s="9"/>
      <c r="L75" s="9"/>
      <c r="M75" s="7"/>
      <c r="N75" s="7"/>
      <c r="O75" s="7"/>
    </row>
    <row r="76" spans="2:15">
      <c r="B76" s="9"/>
      <c r="C76" s="9"/>
      <c r="D76" s="546">
        <v>223</v>
      </c>
      <c r="E76" s="9"/>
      <c r="F76" s="553"/>
      <c r="G76" s="7"/>
      <c r="H76" s="9"/>
      <c r="I76" s="85"/>
      <c r="J76" s="467"/>
      <c r="K76" s="9"/>
      <c r="L76" s="9"/>
      <c r="M76" s="7"/>
      <c r="N76" s="7"/>
      <c r="O76" s="7"/>
    </row>
    <row r="77" spans="2:15">
      <c r="B77" s="9"/>
      <c r="C77" s="9"/>
      <c r="D77" s="546">
        <v>224</v>
      </c>
      <c r="E77" s="9"/>
      <c r="F77" s="553"/>
      <c r="G77" s="7"/>
      <c r="H77" s="9"/>
      <c r="I77" s="85"/>
      <c r="J77" s="467"/>
      <c r="K77" s="9"/>
      <c r="L77" s="9"/>
      <c r="M77" s="7"/>
      <c r="N77" s="7"/>
      <c r="O77" s="7"/>
    </row>
    <row r="78" spans="2:15">
      <c r="B78" s="9"/>
      <c r="C78" s="9"/>
      <c r="D78" s="546">
        <v>225</v>
      </c>
      <c r="E78" s="9"/>
      <c r="F78" s="553"/>
      <c r="G78" s="7"/>
      <c r="H78" s="9"/>
      <c r="I78" s="85"/>
      <c r="J78" s="467"/>
      <c r="K78" s="9"/>
      <c r="L78" s="9"/>
      <c r="M78" s="7"/>
      <c r="N78" s="7"/>
      <c r="O78" s="7"/>
    </row>
    <row r="79" spans="2:15">
      <c r="B79" s="9"/>
      <c r="C79" s="9"/>
      <c r="D79" s="546">
        <v>226</v>
      </c>
      <c r="E79" s="9"/>
      <c r="F79" s="553"/>
      <c r="G79" s="7"/>
      <c r="H79" s="9"/>
      <c r="I79" s="85"/>
      <c r="J79" s="467"/>
      <c r="K79" s="9"/>
      <c r="L79" s="9"/>
      <c r="M79" s="7"/>
      <c r="N79" s="7"/>
      <c r="O79" s="7"/>
    </row>
    <row r="80" spans="2:15">
      <c r="B80" s="9"/>
      <c r="C80" s="9"/>
      <c r="D80" s="546">
        <v>227</v>
      </c>
      <c r="E80" s="9" t="s">
        <v>282</v>
      </c>
      <c r="F80" s="553"/>
      <c r="G80" s="7"/>
      <c r="H80" s="9"/>
      <c r="I80" s="85"/>
      <c r="J80" s="467" t="s">
        <v>2141</v>
      </c>
      <c r="K80" s="579">
        <v>39673</v>
      </c>
      <c r="L80" s="9"/>
      <c r="M80" s="7"/>
      <c r="N80" s="7"/>
      <c r="O80" s="7"/>
    </row>
    <row r="81" spans="2:15">
      <c r="B81" s="9"/>
      <c r="C81" s="9"/>
      <c r="D81" s="546">
        <v>228</v>
      </c>
      <c r="E81" s="9"/>
      <c r="F81" s="553"/>
      <c r="G81" s="7"/>
      <c r="H81" s="9"/>
      <c r="I81" s="85"/>
      <c r="J81" s="467"/>
      <c r="K81" s="9"/>
      <c r="L81" s="9"/>
      <c r="M81" s="7"/>
      <c r="N81" s="7"/>
      <c r="O81" s="7"/>
    </row>
    <row r="82" spans="2:15">
      <c r="B82" s="9"/>
      <c r="C82" s="9"/>
      <c r="D82" s="546">
        <v>229</v>
      </c>
      <c r="E82" s="9" t="s">
        <v>498</v>
      </c>
      <c r="F82" s="553"/>
      <c r="G82" s="7"/>
      <c r="H82" s="9"/>
      <c r="I82" s="85"/>
      <c r="J82" s="467" t="s">
        <v>2142</v>
      </c>
      <c r="K82" s="579">
        <v>39673</v>
      </c>
      <c r="L82" s="9"/>
      <c r="M82" s="7"/>
      <c r="N82" s="7"/>
      <c r="O82" s="7"/>
    </row>
    <row r="83" spans="2:15">
      <c r="B83" s="9"/>
      <c r="C83" s="9"/>
      <c r="D83" s="546">
        <v>230</v>
      </c>
      <c r="E83" s="9" t="s">
        <v>497</v>
      </c>
      <c r="F83" s="553"/>
      <c r="G83" s="7"/>
      <c r="H83" s="9"/>
      <c r="I83" s="85"/>
      <c r="J83" s="467" t="s">
        <v>2143</v>
      </c>
      <c r="K83" s="579">
        <v>39673</v>
      </c>
      <c r="L83" s="9"/>
      <c r="M83" s="7"/>
      <c r="N83" s="7"/>
      <c r="O83" s="7"/>
    </row>
    <row r="84" spans="2:15">
      <c r="B84" s="9"/>
      <c r="C84" s="9"/>
      <c r="D84" s="546">
        <v>231</v>
      </c>
      <c r="E84" s="9"/>
      <c r="F84" s="553"/>
      <c r="G84" s="7"/>
      <c r="H84" s="9"/>
      <c r="I84" s="85"/>
      <c r="J84" s="467"/>
      <c r="K84" s="9"/>
      <c r="L84" s="9"/>
      <c r="M84" s="7"/>
      <c r="N84" s="7"/>
      <c r="O84" s="7"/>
    </row>
    <row r="85" spans="2:15">
      <c r="B85" s="9"/>
      <c r="C85" s="9"/>
      <c r="D85" s="546">
        <v>232</v>
      </c>
      <c r="E85" s="9"/>
      <c r="F85" s="553"/>
      <c r="G85" s="7"/>
      <c r="H85" s="9"/>
      <c r="I85" s="85"/>
      <c r="J85" s="467"/>
      <c r="K85" s="9"/>
      <c r="L85" s="9"/>
      <c r="M85" s="7"/>
      <c r="N85" s="7"/>
      <c r="O85" s="7"/>
    </row>
    <row r="86" spans="2:15">
      <c r="B86" s="9"/>
      <c r="C86" s="9"/>
      <c r="D86" s="546">
        <v>233</v>
      </c>
      <c r="E86" s="9"/>
      <c r="F86" s="553"/>
      <c r="G86" s="7"/>
      <c r="H86" s="9"/>
      <c r="I86" s="85"/>
      <c r="J86" s="467"/>
      <c r="K86" s="9"/>
      <c r="L86" s="9"/>
      <c r="M86" s="7"/>
      <c r="N86" s="7"/>
      <c r="O86" s="7"/>
    </row>
    <row r="87" spans="2:15">
      <c r="B87" s="9"/>
      <c r="C87" s="9"/>
      <c r="D87" s="546">
        <v>234</v>
      </c>
      <c r="E87" s="9"/>
      <c r="F87" s="553"/>
      <c r="G87" s="7"/>
      <c r="H87" s="9"/>
      <c r="I87" s="85"/>
      <c r="J87" s="467"/>
      <c r="K87" s="9"/>
      <c r="L87" s="9"/>
      <c r="M87" s="7"/>
      <c r="N87" s="7"/>
      <c r="O87" s="7"/>
    </row>
    <row r="88" spans="2:15">
      <c r="B88" s="9"/>
      <c r="C88" s="9"/>
      <c r="D88" s="546">
        <v>235</v>
      </c>
      <c r="E88" s="9"/>
      <c r="F88" s="553"/>
      <c r="G88" s="7"/>
      <c r="H88" s="9"/>
      <c r="I88" s="85"/>
      <c r="J88" s="467"/>
      <c r="K88" s="9"/>
      <c r="L88" s="9"/>
      <c r="M88" s="7"/>
      <c r="N88" s="7"/>
      <c r="O88" s="7"/>
    </row>
    <row r="89" spans="2:15">
      <c r="B89" s="9"/>
      <c r="C89" s="9"/>
      <c r="D89" s="546">
        <v>236</v>
      </c>
      <c r="E89" s="9"/>
      <c r="F89" s="553"/>
      <c r="G89" s="7"/>
      <c r="H89" s="9"/>
      <c r="I89" s="85"/>
      <c r="J89" s="467"/>
      <c r="K89" s="9"/>
      <c r="L89" s="9"/>
      <c r="M89" s="7"/>
      <c r="N89" s="7"/>
      <c r="O89" s="7"/>
    </row>
    <row r="90" spans="2:15">
      <c r="B90" s="9"/>
      <c r="C90" s="9"/>
      <c r="D90" s="546">
        <v>237</v>
      </c>
      <c r="E90" s="9"/>
      <c r="F90" s="553"/>
      <c r="G90" s="7"/>
      <c r="H90" s="9"/>
      <c r="I90" s="85"/>
      <c r="J90" s="467"/>
      <c r="K90" s="9"/>
      <c r="L90" s="9"/>
      <c r="M90" s="7"/>
      <c r="N90" s="7"/>
      <c r="O90" s="7"/>
    </row>
    <row r="91" spans="2:15">
      <c r="B91" s="9"/>
      <c r="C91" s="9"/>
      <c r="D91" s="546">
        <v>238</v>
      </c>
      <c r="E91" s="9"/>
      <c r="F91" s="553"/>
      <c r="G91" s="7"/>
      <c r="H91" s="9"/>
      <c r="I91" s="85"/>
      <c r="J91" s="467"/>
      <c r="K91" s="9"/>
      <c r="L91" s="9"/>
      <c r="M91" s="7"/>
      <c r="N91" s="7"/>
      <c r="O91" s="7"/>
    </row>
    <row r="92" spans="2:15">
      <c r="D92" s="481"/>
      <c r="E92" s="481"/>
      <c r="F92" s="482"/>
    </row>
    <row r="93" spans="2:15">
      <c r="D93" s="481"/>
      <c r="E93" s="481"/>
      <c r="F93" s="482"/>
    </row>
    <row r="94" spans="2:15">
      <c r="D94" s="481"/>
      <c r="E94" s="481"/>
      <c r="F94" s="482"/>
    </row>
    <row r="95" spans="2:15">
      <c r="D95" s="481"/>
      <c r="E95" s="481"/>
      <c r="F95" s="482"/>
    </row>
    <row r="96" spans="2:15">
      <c r="B96" s="2" t="s">
        <v>2401</v>
      </c>
    </row>
    <row r="97" spans="2:16" ht="15">
      <c r="B97" s="541" t="s">
        <v>2257</v>
      </c>
    </row>
    <row r="98" spans="2:16">
      <c r="B98" s="3963" t="s">
        <v>2055</v>
      </c>
      <c r="C98" s="3921"/>
      <c r="D98" s="572" t="s">
        <v>907</v>
      </c>
      <c r="E98" s="572" t="s">
        <v>3591</v>
      </c>
      <c r="F98" s="3964" t="s">
        <v>5004</v>
      </c>
      <c r="G98" s="3965"/>
      <c r="H98" s="3966"/>
      <c r="I98" s="574" t="s">
        <v>2930</v>
      </c>
      <c r="J98" s="575" t="s">
        <v>1617</v>
      </c>
      <c r="K98" s="3961" t="s">
        <v>81</v>
      </c>
      <c r="L98" s="3961"/>
      <c r="M98" s="3961"/>
      <c r="N98" s="3962"/>
      <c r="O98" s="148" t="s">
        <v>905</v>
      </c>
      <c r="P98" s="8"/>
    </row>
    <row r="99" spans="2:16">
      <c r="B99" s="9" t="s">
        <v>906</v>
      </c>
      <c r="C99" s="537" t="s">
        <v>2940</v>
      </c>
      <c r="D99" s="573" t="s">
        <v>1835</v>
      </c>
      <c r="E99" s="573" t="s">
        <v>1836</v>
      </c>
      <c r="F99" s="3967"/>
      <c r="G99" s="3968"/>
      <c r="H99" s="3969"/>
      <c r="I99" s="576"/>
      <c r="J99" s="577" t="s">
        <v>1618</v>
      </c>
      <c r="K99" s="58" t="s">
        <v>1712</v>
      </c>
      <c r="L99" s="9"/>
      <c r="M99" s="7"/>
      <c r="N99" s="7"/>
      <c r="O99" s="7"/>
    </row>
    <row r="100" spans="2:16">
      <c r="B100" s="627">
        <v>1</v>
      </c>
      <c r="C100" s="627">
        <v>1</v>
      </c>
      <c r="D100" s="627">
        <v>116</v>
      </c>
      <c r="E100" s="627" t="s">
        <v>1259</v>
      </c>
      <c r="F100" s="3970" t="s">
        <v>206</v>
      </c>
      <c r="G100" s="3971"/>
      <c r="H100" s="3972"/>
      <c r="I100" s="628" t="s">
        <v>205</v>
      </c>
      <c r="J100" s="629" t="s">
        <v>2937</v>
      </c>
      <c r="K100" s="630">
        <v>39673</v>
      </c>
      <c r="L100" s="631"/>
      <c r="M100" s="632"/>
      <c r="N100" s="632"/>
      <c r="O100" s="632"/>
    </row>
    <row r="101" spans="2:16">
      <c r="B101" s="9">
        <v>2</v>
      </c>
      <c r="C101" s="9">
        <v>2</v>
      </c>
      <c r="D101" s="546">
        <v>152</v>
      </c>
      <c r="E101" s="546" t="s">
        <v>816</v>
      </c>
      <c r="F101" s="3915" t="s">
        <v>206</v>
      </c>
      <c r="G101" s="3960"/>
      <c r="H101" s="3914"/>
      <c r="I101" s="85" t="s">
        <v>205</v>
      </c>
      <c r="J101" s="467" t="s">
        <v>2938</v>
      </c>
      <c r="K101" s="579">
        <v>39673</v>
      </c>
      <c r="L101" s="9"/>
      <c r="M101" s="7"/>
      <c r="N101" s="7"/>
      <c r="O101" s="7"/>
    </row>
    <row r="102" spans="2:16">
      <c r="B102" s="9">
        <v>3</v>
      </c>
      <c r="C102" s="9">
        <v>3</v>
      </c>
      <c r="D102" s="546">
        <v>153</v>
      </c>
      <c r="E102" s="546" t="s">
        <v>2837</v>
      </c>
      <c r="F102" s="3957" t="s">
        <v>206</v>
      </c>
      <c r="G102" s="3958"/>
      <c r="H102" s="3959"/>
      <c r="I102" s="85" t="s">
        <v>205</v>
      </c>
      <c r="J102" s="467" t="s">
        <v>2939</v>
      </c>
      <c r="K102" s="579">
        <v>39673</v>
      </c>
      <c r="L102" s="9"/>
      <c r="M102" s="7"/>
      <c r="N102" s="7"/>
      <c r="O102" s="7"/>
    </row>
    <row r="103" spans="2:16">
      <c r="B103" s="9">
        <v>4</v>
      </c>
      <c r="C103" s="9">
        <v>4</v>
      </c>
      <c r="D103" s="546">
        <v>156</v>
      </c>
      <c r="E103" s="546" t="s">
        <v>130</v>
      </c>
      <c r="F103" s="3957" t="s">
        <v>206</v>
      </c>
      <c r="G103" s="3958"/>
      <c r="H103" s="3959"/>
      <c r="I103" s="85" t="s">
        <v>205</v>
      </c>
      <c r="J103" s="467" t="s">
        <v>79</v>
      </c>
      <c r="K103" s="579">
        <v>39673</v>
      </c>
      <c r="L103" s="9"/>
      <c r="M103" s="7"/>
      <c r="N103" s="7"/>
      <c r="O103" s="7"/>
    </row>
    <row r="104" spans="2:16">
      <c r="B104" s="9">
        <v>5</v>
      </c>
      <c r="C104" s="9">
        <v>5</v>
      </c>
      <c r="D104" s="546">
        <v>160</v>
      </c>
      <c r="E104" s="546" t="s">
        <v>1116</v>
      </c>
      <c r="F104" s="3957" t="s">
        <v>206</v>
      </c>
      <c r="G104" s="3958"/>
      <c r="H104" s="3959"/>
      <c r="I104" s="85" t="s">
        <v>205</v>
      </c>
      <c r="J104" s="467" t="s">
        <v>3613</v>
      </c>
      <c r="K104" s="579">
        <v>39673</v>
      </c>
      <c r="L104" s="9"/>
      <c r="M104" s="7"/>
      <c r="N104" s="7"/>
      <c r="O104" s="7"/>
    </row>
    <row r="105" spans="2:16">
      <c r="B105" s="9">
        <v>6</v>
      </c>
      <c r="C105" s="9">
        <v>6</v>
      </c>
      <c r="D105" s="546">
        <v>164</v>
      </c>
      <c r="E105" s="546" t="s">
        <v>4656</v>
      </c>
      <c r="F105" s="3957" t="s">
        <v>206</v>
      </c>
      <c r="G105" s="3958"/>
      <c r="H105" s="3959"/>
      <c r="I105" s="85" t="s">
        <v>205</v>
      </c>
      <c r="J105" s="467" t="s">
        <v>3614</v>
      </c>
      <c r="K105" s="579">
        <v>39673</v>
      </c>
      <c r="L105" s="9"/>
      <c r="M105" s="7"/>
      <c r="N105" s="7"/>
      <c r="O105" s="7"/>
    </row>
    <row r="106" spans="2:16">
      <c r="B106" s="9">
        <v>7</v>
      </c>
      <c r="C106" s="9">
        <v>7</v>
      </c>
      <c r="D106" s="546">
        <v>165</v>
      </c>
      <c r="E106" s="546" t="s">
        <v>4657</v>
      </c>
      <c r="F106" s="3915" t="s">
        <v>206</v>
      </c>
      <c r="G106" s="3960"/>
      <c r="H106" s="3914"/>
      <c r="I106" s="85" t="s">
        <v>205</v>
      </c>
      <c r="J106" s="467" t="s">
        <v>3615</v>
      </c>
      <c r="K106" s="579">
        <v>39673</v>
      </c>
      <c r="L106" s="9"/>
      <c r="M106" s="7"/>
      <c r="N106" s="7"/>
      <c r="O106" s="7"/>
    </row>
    <row r="107" spans="2:16">
      <c r="B107" s="9">
        <v>8</v>
      </c>
      <c r="C107" s="9">
        <v>8</v>
      </c>
      <c r="D107" s="546">
        <v>166</v>
      </c>
      <c r="E107" s="546" t="s">
        <v>900</v>
      </c>
      <c r="F107" s="3915" t="s">
        <v>206</v>
      </c>
      <c r="G107" s="3960"/>
      <c r="H107" s="3914"/>
      <c r="I107" s="85" t="s">
        <v>205</v>
      </c>
      <c r="J107" s="467" t="s">
        <v>3616</v>
      </c>
      <c r="K107" s="579">
        <v>39673</v>
      </c>
      <c r="L107" s="9"/>
      <c r="M107" s="7"/>
      <c r="N107" s="7"/>
      <c r="O107" s="7"/>
    </row>
    <row r="108" spans="2:16">
      <c r="B108" s="9">
        <v>9</v>
      </c>
      <c r="C108" s="9">
        <v>9</v>
      </c>
      <c r="D108" s="546">
        <v>167</v>
      </c>
      <c r="E108" s="546" t="s">
        <v>901</v>
      </c>
      <c r="F108" s="3957" t="s">
        <v>206</v>
      </c>
      <c r="G108" s="3958"/>
      <c r="H108" s="3959"/>
      <c r="I108" s="85" t="s">
        <v>205</v>
      </c>
      <c r="J108" s="467" t="s">
        <v>3617</v>
      </c>
      <c r="K108" s="579">
        <v>39673</v>
      </c>
      <c r="L108" s="9"/>
      <c r="M108" s="7"/>
      <c r="N108" s="7"/>
      <c r="O108" s="7"/>
    </row>
    <row r="109" spans="2:16">
      <c r="B109" s="9">
        <v>10</v>
      </c>
      <c r="C109" s="9">
        <v>10</v>
      </c>
      <c r="D109" s="546">
        <v>169</v>
      </c>
      <c r="E109" s="546" t="s">
        <v>903</v>
      </c>
      <c r="F109" s="3957" t="s">
        <v>206</v>
      </c>
      <c r="G109" s="3958"/>
      <c r="H109" s="3959"/>
      <c r="I109" s="85" t="s">
        <v>205</v>
      </c>
      <c r="J109" s="467" t="s">
        <v>4586</v>
      </c>
      <c r="K109" s="579">
        <v>39673</v>
      </c>
      <c r="L109" s="9"/>
      <c r="M109" s="7"/>
      <c r="N109" s="7"/>
      <c r="O109" s="7"/>
    </row>
    <row r="110" spans="2:16">
      <c r="B110" s="9">
        <v>11</v>
      </c>
      <c r="C110" s="9">
        <v>11</v>
      </c>
      <c r="D110" s="546">
        <v>170</v>
      </c>
      <c r="E110" s="546" t="s">
        <v>904</v>
      </c>
      <c r="F110" s="3973" t="s">
        <v>206</v>
      </c>
      <c r="G110" s="3974"/>
      <c r="H110" s="3975"/>
      <c r="I110" s="85" t="s">
        <v>205</v>
      </c>
      <c r="J110" s="467" t="s">
        <v>1357</v>
      </c>
      <c r="K110" s="579">
        <v>39673</v>
      </c>
      <c r="L110" s="9"/>
      <c r="M110" s="7"/>
      <c r="N110" s="7"/>
      <c r="O110" s="7"/>
    </row>
    <row r="111" spans="2:16">
      <c r="B111" s="9">
        <v>12</v>
      </c>
      <c r="C111" s="9">
        <v>1</v>
      </c>
      <c r="D111" s="546">
        <v>200</v>
      </c>
      <c r="E111" s="9" t="s">
        <v>1269</v>
      </c>
      <c r="F111" s="3957" t="s">
        <v>4564</v>
      </c>
      <c r="G111" s="3958"/>
      <c r="H111" s="3959"/>
      <c r="I111" s="546" t="s">
        <v>2931</v>
      </c>
      <c r="J111" s="467" t="s">
        <v>2929</v>
      </c>
      <c r="K111" s="579">
        <v>39673</v>
      </c>
      <c r="L111" s="9"/>
      <c r="M111" s="7"/>
      <c r="N111" s="7"/>
      <c r="O111" s="7"/>
    </row>
    <row r="112" spans="2:16">
      <c r="B112" s="9">
        <v>13</v>
      </c>
      <c r="C112" s="9">
        <v>2</v>
      </c>
      <c r="D112" s="546">
        <v>201</v>
      </c>
      <c r="E112" s="9" t="s">
        <v>58</v>
      </c>
      <c r="F112" s="3957" t="s">
        <v>4564</v>
      </c>
      <c r="G112" s="3958"/>
      <c r="H112" s="3959"/>
      <c r="I112" s="546" t="s">
        <v>2931</v>
      </c>
      <c r="J112" s="467" t="s">
        <v>860</v>
      </c>
      <c r="K112" s="579">
        <v>39673</v>
      </c>
      <c r="L112" s="9"/>
      <c r="M112" s="7"/>
      <c r="N112" s="7"/>
      <c r="O112" s="7"/>
    </row>
    <row r="113" spans="2:15">
      <c r="B113" s="9">
        <v>14</v>
      </c>
      <c r="C113" s="9">
        <v>3</v>
      </c>
      <c r="D113" s="546">
        <v>202</v>
      </c>
      <c r="E113" s="9" t="s">
        <v>861</v>
      </c>
      <c r="F113" s="3957" t="s">
        <v>4564</v>
      </c>
      <c r="G113" s="3958"/>
      <c r="H113" s="3959"/>
      <c r="I113" s="546" t="s">
        <v>2931</v>
      </c>
      <c r="J113" s="467" t="s">
        <v>2570</v>
      </c>
      <c r="K113" s="579">
        <v>39673</v>
      </c>
      <c r="L113" s="9"/>
      <c r="M113" s="7"/>
      <c r="N113" s="7"/>
      <c r="O113" s="7"/>
    </row>
    <row r="114" spans="2:15">
      <c r="B114" s="9">
        <v>15</v>
      </c>
      <c r="C114" s="9">
        <v>4</v>
      </c>
      <c r="D114" s="546">
        <v>204</v>
      </c>
      <c r="E114" s="9" t="s">
        <v>2666</v>
      </c>
      <c r="F114" s="3957" t="s">
        <v>4564</v>
      </c>
      <c r="G114" s="3958"/>
      <c r="H114" s="3959"/>
      <c r="I114" s="546" t="s">
        <v>2931</v>
      </c>
      <c r="J114" s="467" t="s">
        <v>3539</v>
      </c>
      <c r="K114" s="579">
        <v>39673</v>
      </c>
      <c r="L114" s="9"/>
      <c r="M114" s="7"/>
      <c r="N114" s="7"/>
      <c r="O114" s="7"/>
    </row>
    <row r="115" spans="2:15">
      <c r="B115" s="9">
        <v>16</v>
      </c>
      <c r="C115" s="9">
        <v>5</v>
      </c>
      <c r="D115" s="546">
        <v>207</v>
      </c>
      <c r="E115" s="9" t="s">
        <v>1270</v>
      </c>
      <c r="F115" s="3957" t="s">
        <v>4564</v>
      </c>
      <c r="G115" s="3958"/>
      <c r="H115" s="3959"/>
      <c r="I115" s="546" t="s">
        <v>2931</v>
      </c>
      <c r="J115" s="467" t="s">
        <v>2231</v>
      </c>
      <c r="K115" s="579">
        <v>39673</v>
      </c>
      <c r="L115" s="9"/>
      <c r="M115" s="7"/>
      <c r="N115" s="7"/>
      <c r="O115" s="7"/>
    </row>
    <row r="116" spans="2:15">
      <c r="B116" s="9">
        <v>17</v>
      </c>
      <c r="C116" s="9">
        <v>6</v>
      </c>
      <c r="D116" s="546">
        <v>215</v>
      </c>
      <c r="E116" s="9" t="s">
        <v>4360</v>
      </c>
      <c r="F116" s="3957" t="s">
        <v>4564</v>
      </c>
      <c r="G116" s="3958"/>
      <c r="H116" s="3959"/>
      <c r="I116" s="546" t="s">
        <v>2931</v>
      </c>
      <c r="J116" s="467" t="s">
        <v>3752</v>
      </c>
      <c r="K116" s="579">
        <v>39673</v>
      </c>
      <c r="L116" s="9"/>
      <c r="M116" s="7"/>
      <c r="N116" s="7"/>
      <c r="O116" s="7"/>
    </row>
    <row r="117" spans="2:15">
      <c r="B117" s="9">
        <v>18</v>
      </c>
      <c r="C117" s="9">
        <v>7</v>
      </c>
      <c r="D117" s="546">
        <v>218</v>
      </c>
      <c r="E117" s="9" t="s">
        <v>3753</v>
      </c>
      <c r="F117" s="3957" t="s">
        <v>4564</v>
      </c>
      <c r="G117" s="3958"/>
      <c r="H117" s="3959"/>
      <c r="I117" s="546" t="s">
        <v>2931</v>
      </c>
      <c r="J117" s="467" t="s">
        <v>3064</v>
      </c>
      <c r="K117" s="579">
        <v>39673</v>
      </c>
      <c r="L117" s="9"/>
      <c r="M117" s="7"/>
      <c r="N117" s="7"/>
      <c r="O117" s="7"/>
    </row>
    <row r="118" spans="2:15">
      <c r="B118" s="9">
        <v>19</v>
      </c>
      <c r="C118" s="9">
        <v>8</v>
      </c>
      <c r="D118" s="546">
        <v>219</v>
      </c>
      <c r="E118" s="9" t="s">
        <v>2101</v>
      </c>
      <c r="F118" s="3957" t="s">
        <v>4564</v>
      </c>
      <c r="G118" s="3958"/>
      <c r="H118" s="3959"/>
      <c r="I118" s="546" t="s">
        <v>2931</v>
      </c>
      <c r="J118" s="467" t="s">
        <v>272</v>
      </c>
      <c r="K118" s="579">
        <v>39673</v>
      </c>
      <c r="L118" s="9"/>
      <c r="M118" s="7"/>
      <c r="N118" s="7"/>
      <c r="O118" s="7"/>
    </row>
    <row r="119" spans="2:15">
      <c r="B119" s="9">
        <v>20</v>
      </c>
      <c r="C119" s="9">
        <v>9</v>
      </c>
      <c r="D119" s="546">
        <v>227</v>
      </c>
      <c r="E119" s="9" t="s">
        <v>282</v>
      </c>
      <c r="F119" s="3957" t="s">
        <v>4564</v>
      </c>
      <c r="G119" s="3958"/>
      <c r="H119" s="3959"/>
      <c r="I119" s="546" t="s">
        <v>2931</v>
      </c>
      <c r="J119" s="467" t="s">
        <v>2141</v>
      </c>
      <c r="K119" s="579">
        <v>39673</v>
      </c>
      <c r="L119" s="9"/>
      <c r="M119" s="7"/>
      <c r="N119" s="7"/>
      <c r="O119" s="7"/>
    </row>
    <row r="120" spans="2:15">
      <c r="B120" s="9">
        <v>21</v>
      </c>
      <c r="C120" s="9">
        <v>10</v>
      </c>
      <c r="D120" s="546">
        <v>229</v>
      </c>
      <c r="E120" s="9" t="s">
        <v>498</v>
      </c>
      <c r="F120" s="3957" t="s">
        <v>4564</v>
      </c>
      <c r="G120" s="3958"/>
      <c r="H120" s="3959"/>
      <c r="I120" s="546" t="s">
        <v>2931</v>
      </c>
      <c r="J120" s="467" t="s">
        <v>2142</v>
      </c>
      <c r="K120" s="579">
        <v>39673</v>
      </c>
      <c r="L120" s="9"/>
      <c r="M120" s="7"/>
      <c r="N120" s="7"/>
      <c r="O120" s="7"/>
    </row>
    <row r="121" spans="2:15">
      <c r="B121" s="9">
        <v>22</v>
      </c>
      <c r="C121" s="9">
        <v>11</v>
      </c>
      <c r="D121" s="546">
        <v>230</v>
      </c>
      <c r="E121" s="9" t="s">
        <v>497</v>
      </c>
      <c r="F121" s="3957" t="s">
        <v>4564</v>
      </c>
      <c r="G121" s="3958"/>
      <c r="H121" s="3959"/>
      <c r="I121" s="546" t="s">
        <v>2931</v>
      </c>
      <c r="J121" s="467" t="s">
        <v>2143</v>
      </c>
      <c r="K121" s="579">
        <v>39673</v>
      </c>
      <c r="L121" s="9"/>
      <c r="M121" s="7"/>
      <c r="N121" s="7"/>
      <c r="O121" s="7"/>
    </row>
    <row r="122" spans="2:15">
      <c r="D122" s="481"/>
      <c r="E122" s="481"/>
      <c r="F122" s="482"/>
    </row>
    <row r="123" spans="2:15">
      <c r="D123" s="481"/>
      <c r="E123" s="481"/>
      <c r="F123" s="482"/>
    </row>
    <row r="124" spans="2:15">
      <c r="D124" s="481"/>
      <c r="E124" s="481"/>
      <c r="F124" s="482"/>
    </row>
    <row r="125" spans="2:15">
      <c r="D125" s="481"/>
      <c r="E125" s="481"/>
      <c r="F125" s="482"/>
    </row>
    <row r="126" spans="2:15">
      <c r="D126" s="481"/>
      <c r="E126" s="481"/>
      <c r="F126" s="482"/>
    </row>
    <row r="127" spans="2:15">
      <c r="D127" s="481"/>
      <c r="E127" s="481"/>
      <c r="F127" s="482"/>
    </row>
    <row r="128" spans="2:15">
      <c r="B128" t="s">
        <v>4739</v>
      </c>
    </row>
    <row r="129" spans="2:6">
      <c r="C129" s="494">
        <v>39619</v>
      </c>
      <c r="D129" s="8">
        <v>100</v>
      </c>
      <c r="E129" s="495" t="s">
        <v>3508</v>
      </c>
    </row>
    <row r="130" spans="2:6">
      <c r="C130" s="494">
        <v>39627</v>
      </c>
      <c r="D130" s="8">
        <v>200</v>
      </c>
      <c r="E130" s="495" t="s">
        <v>3508</v>
      </c>
    </row>
    <row r="131" spans="2:6">
      <c r="C131" s="494">
        <v>39631</v>
      </c>
      <c r="D131" s="8">
        <v>200</v>
      </c>
      <c r="E131" s="495" t="s">
        <v>3508</v>
      </c>
    </row>
    <row r="132" spans="2:6">
      <c r="C132" s="494">
        <v>39645</v>
      </c>
      <c r="D132" s="212">
        <v>200</v>
      </c>
    </row>
    <row r="133" spans="2:6">
      <c r="C133" s="494">
        <v>39653</v>
      </c>
      <c r="D133" s="38">
        <v>200</v>
      </c>
    </row>
    <row r="134" spans="2:6">
      <c r="C134" s="494">
        <v>39661</v>
      </c>
      <c r="D134" s="53">
        <v>200</v>
      </c>
    </row>
    <row r="137" spans="2:6">
      <c r="B137" s="532" t="s">
        <v>2988</v>
      </c>
      <c r="C137" s="518"/>
      <c r="D137" s="518">
        <f>SUM(D129:D136)</f>
        <v>1100</v>
      </c>
      <c r="E137" s="518"/>
      <c r="F137" s="533" t="s">
        <v>3768</v>
      </c>
    </row>
    <row r="138" spans="2:6">
      <c r="B138" s="79"/>
      <c r="C138" s="204"/>
      <c r="D138" s="535" t="s">
        <v>469</v>
      </c>
      <c r="E138" s="204"/>
      <c r="F138" s="540">
        <f>80*20</f>
        <v>1600</v>
      </c>
    </row>
    <row r="140" spans="2:6">
      <c r="C140" s="8">
        <f>15*1.19</f>
        <v>17.849999999999998</v>
      </c>
      <c r="D140" s="8">
        <v>10</v>
      </c>
      <c r="E140" s="8">
        <f>+D140*C140</f>
        <v>178.49999999999997</v>
      </c>
    </row>
    <row r="141" spans="2:6">
      <c r="C141" s="8">
        <v>64</v>
      </c>
      <c r="D141" s="8">
        <v>10</v>
      </c>
      <c r="E141" s="8">
        <f>+D141*C141</f>
        <v>640</v>
      </c>
    </row>
    <row r="142" spans="2:6">
      <c r="C142" s="8">
        <f>+C141+C140</f>
        <v>81.849999999999994</v>
      </c>
      <c r="D142" s="8">
        <v>10</v>
      </c>
      <c r="E142" s="8">
        <f>+D142*C142</f>
        <v>818.5</v>
      </c>
    </row>
    <row r="143" spans="2:6">
      <c r="E143" s="8">
        <v>200</v>
      </c>
    </row>
    <row r="144" spans="2:6">
      <c r="E144" s="539">
        <f>+E143+E142</f>
        <v>1018.5</v>
      </c>
    </row>
    <row r="146" spans="2:6">
      <c r="C146" s="8">
        <v>30</v>
      </c>
      <c r="D146" s="8">
        <v>20</v>
      </c>
      <c r="E146" s="8">
        <f>+C146*D146</f>
        <v>600</v>
      </c>
    </row>
    <row r="147" spans="2:6">
      <c r="B147" s="538"/>
      <c r="C147" s="8">
        <v>60</v>
      </c>
      <c r="D147" s="8">
        <v>20</v>
      </c>
      <c r="E147" s="8">
        <f>+C147*D147</f>
        <v>1200</v>
      </c>
    </row>
    <row r="148" spans="2:6">
      <c r="C148" s="8">
        <v>80</v>
      </c>
      <c r="D148" s="8">
        <v>20</v>
      </c>
      <c r="E148" s="472">
        <f>+D148*C148</f>
        <v>1600</v>
      </c>
      <c r="F148" s="502" t="s">
        <v>2969</v>
      </c>
    </row>
    <row r="151" spans="2:6">
      <c r="C151" s="8">
        <v>600</v>
      </c>
      <c r="D151" s="8">
        <v>20</v>
      </c>
      <c r="E151" s="8">
        <f>+D151*C151</f>
        <v>12000</v>
      </c>
    </row>
    <row r="153" spans="2:6">
      <c r="C153" s="504"/>
    </row>
  </sheetData>
  <mergeCells count="27">
    <mergeCell ref="F121:H121"/>
    <mergeCell ref="F116:H116"/>
    <mergeCell ref="F117:H117"/>
    <mergeCell ref="F118:H118"/>
    <mergeCell ref="F119:H119"/>
    <mergeCell ref="F120:H120"/>
    <mergeCell ref="F107:H107"/>
    <mergeCell ref="F108:H108"/>
    <mergeCell ref="F109:H109"/>
    <mergeCell ref="F114:H114"/>
    <mergeCell ref="F115:H115"/>
    <mergeCell ref="F112:H112"/>
    <mergeCell ref="F113:H113"/>
    <mergeCell ref="F110:H110"/>
    <mergeCell ref="F111:H111"/>
    <mergeCell ref="F105:H105"/>
    <mergeCell ref="F106:H106"/>
    <mergeCell ref="K4:N4"/>
    <mergeCell ref="B98:C98"/>
    <mergeCell ref="K98:N98"/>
    <mergeCell ref="F98:H99"/>
    <mergeCell ref="F104:H104"/>
    <mergeCell ref="B4:C4"/>
    <mergeCell ref="F100:H100"/>
    <mergeCell ref="F101:H101"/>
    <mergeCell ref="F102:H102"/>
    <mergeCell ref="F103:H103"/>
  </mergeCells>
  <phoneticPr fontId="0" type="noConversion"/>
  <pageMargins left="0.21" right="0.75" top="1.1299999999999999" bottom="0.98425196850393704" header="0" footer="0"/>
  <pageSetup paperSize="9" scale="78" orientation="landscape" horizontalDpi="120" verticalDpi="72" r:id="rId1"/>
  <headerFooter alignWithMargins="0"/>
  <legacyDrawing r:id="rId2"/>
</worksheet>
</file>

<file path=xl/worksheets/sheet23.xml><?xml version="1.0" encoding="utf-8"?>
<worksheet xmlns="http://schemas.openxmlformats.org/spreadsheetml/2006/main" xmlns:r="http://schemas.openxmlformats.org/officeDocument/2006/relationships">
  <sheetPr codeName="Hoja23">
    <pageSetUpPr fitToPage="1"/>
  </sheetPr>
  <dimension ref="A6:AK72"/>
  <sheetViews>
    <sheetView workbookViewId="0">
      <pane xSplit="5" topLeftCell="F1" activePane="topRight" state="frozen"/>
      <selection pane="topRight" activeCell="F1" sqref="F1"/>
    </sheetView>
  </sheetViews>
  <sheetFormatPr baseColWidth="10" defaultRowHeight="12.75" outlineLevelRow="1" outlineLevelCol="1"/>
  <cols>
    <col min="1" max="2" width="8" customWidth="1"/>
    <col min="3" max="3" width="8.85546875" style="8" customWidth="1"/>
    <col min="4" max="4" width="11.42578125" style="8"/>
    <col min="5" max="5" width="10.7109375" style="8" customWidth="1"/>
    <col min="6" max="7" width="12.28515625" bestFit="1" customWidth="1"/>
    <col min="8" max="8" width="12.28515625" hidden="1" customWidth="1"/>
    <col min="9" max="9" width="3.28515625" bestFit="1" customWidth="1"/>
    <col min="10" max="10" width="4.5703125" style="472" customWidth="1"/>
    <col min="11" max="11" width="7.140625" hidden="1" customWidth="1"/>
    <col min="12" max="12" width="6.28515625" hidden="1" customWidth="1"/>
    <col min="13" max="13" width="8.140625" style="90" customWidth="1" outlineLevel="1"/>
    <col min="14" max="14" width="9.7109375" style="90" customWidth="1" outlineLevel="1"/>
    <col min="15" max="15" width="8" style="90" customWidth="1" outlineLevel="1"/>
    <col min="16" max="16" width="10.28515625" style="74" customWidth="1" outlineLevel="1"/>
    <col min="17" max="17" width="5.7109375" style="90" customWidth="1" outlineLevel="1"/>
    <col min="18" max="18" width="8" style="90" customWidth="1" outlineLevel="1"/>
    <col min="19" max="19" width="2.7109375" customWidth="1" outlineLevel="1"/>
    <col min="20" max="20" width="5.7109375" style="90" customWidth="1" outlineLevel="1"/>
    <col min="21" max="21" width="8" style="90" customWidth="1" outlineLevel="1"/>
    <col min="22" max="22" width="2.7109375" customWidth="1" outlineLevel="1"/>
    <col min="23" max="23" width="5.7109375" style="90" customWidth="1" outlineLevel="1"/>
    <col min="24" max="24" width="8" style="90" customWidth="1" outlineLevel="1"/>
    <col min="25" max="26" width="8.140625" style="90" bestFit="1" customWidth="1"/>
    <col min="27" max="27" width="9.5703125" style="90" customWidth="1"/>
    <col min="28" max="28" width="8.140625" style="90" customWidth="1"/>
    <col min="29" max="32" width="5.7109375" style="90" customWidth="1" outlineLevel="1"/>
    <col min="33" max="33" width="17.5703125" style="90" bestFit="1" customWidth="1"/>
    <col min="34" max="35" width="7.7109375" customWidth="1"/>
  </cols>
  <sheetData>
    <row r="6" spans="1:36">
      <c r="C6" s="473" t="s">
        <v>212</v>
      </c>
    </row>
    <row r="7" spans="1:36" ht="14.25">
      <c r="C7" s="474" t="s">
        <v>2766</v>
      </c>
    </row>
    <row r="8" spans="1:36">
      <c r="A8" s="3976">
        <v>39295</v>
      </c>
      <c r="B8" s="3976"/>
    </row>
    <row r="9" spans="1:36" ht="40.700000000000003" customHeight="1">
      <c r="C9" s="8" t="s">
        <v>491</v>
      </c>
      <c r="D9" s="8" t="s">
        <v>1629</v>
      </c>
      <c r="E9" s="8" t="s">
        <v>3591</v>
      </c>
      <c r="F9" s="8" t="s">
        <v>5004</v>
      </c>
      <c r="G9" s="472" t="s">
        <v>3372</v>
      </c>
      <c r="K9" t="s">
        <v>3797</v>
      </c>
      <c r="L9" t="s">
        <v>3507</v>
      </c>
      <c r="M9" s="463" t="s">
        <v>3797</v>
      </c>
      <c r="N9" s="520" t="s">
        <v>3507</v>
      </c>
      <c r="O9" s="521" t="s">
        <v>2968</v>
      </c>
      <c r="P9" s="491" t="s">
        <v>2272</v>
      </c>
      <c r="Q9" s="522" t="s">
        <v>2330</v>
      </c>
      <c r="R9" s="521" t="s">
        <v>4110</v>
      </c>
      <c r="T9" s="522" t="s">
        <v>4393</v>
      </c>
      <c r="U9" s="521" t="s">
        <v>1019</v>
      </c>
      <c r="W9" s="522" t="s">
        <v>1577</v>
      </c>
      <c r="X9" s="521" t="s">
        <v>1019</v>
      </c>
      <c r="Y9" s="608" t="s">
        <v>3492</v>
      </c>
      <c r="Z9" s="609" t="s">
        <v>3493</v>
      </c>
      <c r="AA9" s="609" t="s">
        <v>4721</v>
      </c>
      <c r="AB9" s="589"/>
      <c r="AC9" s="619" t="s">
        <v>4324</v>
      </c>
      <c r="AD9" s="619" t="s">
        <v>4325</v>
      </c>
      <c r="AE9" s="619" t="s">
        <v>2633</v>
      </c>
      <c r="AF9" s="619" t="s">
        <v>363</v>
      </c>
      <c r="AG9" s="589"/>
    </row>
    <row r="10" spans="1:36" ht="15" outlineLevel="1">
      <c r="C10" s="8">
        <v>1</v>
      </c>
      <c r="D10" s="472">
        <v>151</v>
      </c>
      <c r="E10" s="472" t="s">
        <v>815</v>
      </c>
      <c r="F10" t="s">
        <v>206</v>
      </c>
      <c r="G10" s="476">
        <f>+E34</f>
        <v>208.25</v>
      </c>
      <c r="J10" s="472" t="s">
        <v>205</v>
      </c>
      <c r="M10" s="489"/>
      <c r="N10" s="142"/>
      <c r="O10" s="500"/>
      <c r="P10" s="491" t="s">
        <v>2696</v>
      </c>
      <c r="Q10" s="515"/>
      <c r="R10" s="500">
        <v>96</v>
      </c>
      <c r="T10" s="515" t="s">
        <v>205</v>
      </c>
      <c r="U10" s="523"/>
      <c r="W10" s="515"/>
      <c r="X10" s="523"/>
      <c r="Y10" s="489"/>
      <c r="Z10" s="487"/>
      <c r="AA10" s="487"/>
      <c r="AB10" s="471"/>
      <c r="AC10" s="515"/>
      <c r="AD10" s="515"/>
      <c r="AE10" s="515"/>
      <c r="AF10" s="515"/>
      <c r="AG10" s="471"/>
    </row>
    <row r="11" spans="1:36" ht="15" outlineLevel="1">
      <c r="C11" s="8">
        <v>2</v>
      </c>
      <c r="D11" s="472">
        <v>152</v>
      </c>
      <c r="E11" s="472" t="s">
        <v>816</v>
      </c>
      <c r="F11" t="s">
        <v>206</v>
      </c>
      <c r="G11" s="476">
        <f>+$E$34</f>
        <v>208.25</v>
      </c>
      <c r="J11" s="472" t="s">
        <v>205</v>
      </c>
      <c r="M11" s="489"/>
      <c r="N11" s="142"/>
      <c r="O11" s="500"/>
      <c r="P11" s="491" t="s">
        <v>951</v>
      </c>
      <c r="Q11" s="515"/>
      <c r="R11" s="500">
        <v>64</v>
      </c>
      <c r="T11" s="515" t="s">
        <v>205</v>
      </c>
      <c r="U11" s="523"/>
      <c r="W11" s="515"/>
      <c r="X11" s="523"/>
      <c r="Y11" s="489"/>
      <c r="Z11" s="487"/>
      <c r="AA11" s="487"/>
      <c r="AB11" s="471"/>
      <c r="AC11" s="515"/>
      <c r="AD11" s="515"/>
      <c r="AE11" s="515"/>
      <c r="AF11" s="515"/>
      <c r="AG11" s="471"/>
      <c r="AH11" s="139"/>
      <c r="AI11" s="140"/>
      <c r="AJ11" s="141"/>
    </row>
    <row r="12" spans="1:36" ht="14.25" outlineLevel="1">
      <c r="C12" s="8">
        <v>3</v>
      </c>
      <c r="D12" s="481">
        <v>153</v>
      </c>
      <c r="E12" s="481" t="s">
        <v>2837</v>
      </c>
      <c r="F12" s="482" t="s">
        <v>206</v>
      </c>
      <c r="G12" s="483">
        <f t="shared" ref="G12:G32" si="0">+$E$34</f>
        <v>208.25</v>
      </c>
      <c r="I12">
        <v>1</v>
      </c>
      <c r="J12" s="480" t="s">
        <v>205</v>
      </c>
      <c r="K12" s="152">
        <v>39632</v>
      </c>
      <c r="L12" s="152">
        <v>39633</v>
      </c>
      <c r="M12" s="489">
        <v>15</v>
      </c>
      <c r="N12" s="142">
        <v>32</v>
      </c>
      <c r="O12" s="500" t="s">
        <v>3796</v>
      </c>
      <c r="Q12" s="516"/>
      <c r="R12" s="500"/>
      <c r="T12" s="516"/>
      <c r="U12" s="523"/>
      <c r="W12" s="516"/>
      <c r="X12" s="523"/>
      <c r="Y12" s="489"/>
      <c r="Z12" s="142"/>
      <c r="AA12" s="142"/>
      <c r="AC12" s="516"/>
      <c r="AD12" s="516"/>
      <c r="AE12" s="516"/>
      <c r="AF12" s="516"/>
      <c r="AH12" s="3977" t="s">
        <v>2054</v>
      </c>
      <c r="AI12" s="3978"/>
      <c r="AJ12" s="488">
        <v>1018</v>
      </c>
    </row>
    <row r="13" spans="1:36" ht="15" outlineLevel="1">
      <c r="A13" s="525" t="s">
        <v>1873</v>
      </c>
      <c r="B13" s="526"/>
      <c r="C13" s="588">
        <v>4</v>
      </c>
      <c r="D13" s="519">
        <v>154</v>
      </c>
      <c r="E13" s="590" t="s">
        <v>1555</v>
      </c>
      <c r="F13" s="528" t="s">
        <v>206</v>
      </c>
      <c r="G13" s="591">
        <f t="shared" si="0"/>
        <v>208.25</v>
      </c>
      <c r="H13" s="528"/>
      <c r="I13" s="528"/>
      <c r="J13" s="519"/>
      <c r="K13" s="528"/>
      <c r="L13" s="528"/>
      <c r="M13" s="592"/>
      <c r="N13" s="593"/>
      <c r="O13" s="594"/>
      <c r="P13" s="595"/>
      <c r="Q13" s="596"/>
      <c r="R13" s="594"/>
      <c r="S13" s="528"/>
      <c r="T13" s="596"/>
      <c r="U13" s="597"/>
      <c r="V13" s="528"/>
      <c r="W13" s="596"/>
      <c r="X13" s="597"/>
      <c r="Y13" s="592">
        <v>15</v>
      </c>
      <c r="Z13" s="593">
        <f>32+32</f>
        <v>64</v>
      </c>
      <c r="AA13" s="593"/>
      <c r="AB13" s="598">
        <f>+Y13+Z13</f>
        <v>79</v>
      </c>
      <c r="AC13" s="596"/>
      <c r="AD13" s="596"/>
      <c r="AE13" s="596"/>
      <c r="AF13" s="620" t="s">
        <v>3796</v>
      </c>
      <c r="AG13" s="598" t="s">
        <v>3895</v>
      </c>
      <c r="AH13" s="77"/>
      <c r="AI13" s="75"/>
      <c r="AJ13" s="142"/>
    </row>
    <row r="14" spans="1:36" ht="14.25" outlineLevel="1">
      <c r="C14" s="8">
        <v>5</v>
      </c>
      <c r="D14" s="472">
        <v>155</v>
      </c>
      <c r="E14" s="472" t="s">
        <v>129</v>
      </c>
      <c r="F14" t="s">
        <v>206</v>
      </c>
      <c r="G14" s="476">
        <f t="shared" si="0"/>
        <v>208.25</v>
      </c>
      <c r="J14" s="472" t="s">
        <v>205</v>
      </c>
      <c r="M14" s="489"/>
      <c r="N14" s="142"/>
      <c r="O14" s="500"/>
      <c r="P14" s="491" t="s">
        <v>591</v>
      </c>
      <c r="Q14" s="516" t="s">
        <v>205</v>
      </c>
      <c r="R14" s="500"/>
      <c r="T14" s="516"/>
      <c r="U14" s="523"/>
      <c r="W14" s="516"/>
      <c r="X14" s="523"/>
      <c r="Y14" s="489"/>
      <c r="Z14" s="487"/>
      <c r="AA14" s="487"/>
      <c r="AB14" s="471"/>
      <c r="AC14" s="516"/>
      <c r="AD14" s="516"/>
      <c r="AE14" s="516"/>
      <c r="AF14" s="516"/>
      <c r="AG14" s="471"/>
      <c r="AH14" s="3981" t="s">
        <v>3797</v>
      </c>
      <c r="AI14" s="3982"/>
      <c r="AJ14" s="142">
        <f>+M34</f>
        <v>150</v>
      </c>
    </row>
    <row r="15" spans="1:36" ht="14.25">
      <c r="G15" s="477">
        <f>SUM(G10:G14)</f>
        <v>1041.25</v>
      </c>
      <c r="H15" s="476">
        <f>SUM(G10:G14)</f>
        <v>1041.25</v>
      </c>
      <c r="M15" s="489"/>
      <c r="N15" s="142"/>
      <c r="O15" s="500"/>
      <c r="Q15" s="516"/>
      <c r="R15" s="500"/>
      <c r="T15" s="516"/>
      <c r="U15" s="523"/>
      <c r="W15" s="516"/>
      <c r="X15" s="523"/>
      <c r="Y15" s="489"/>
      <c r="Z15" s="142"/>
      <c r="AA15" s="142"/>
      <c r="AC15" s="516"/>
      <c r="AD15" s="516"/>
      <c r="AE15" s="516"/>
      <c r="AF15" s="516"/>
      <c r="AH15" s="3981" t="s">
        <v>3507</v>
      </c>
      <c r="AI15" s="3982"/>
      <c r="AJ15" s="142">
        <f>+N34</f>
        <v>320</v>
      </c>
    </row>
    <row r="16" spans="1:36" ht="14.25" outlineLevel="1">
      <c r="C16" s="8">
        <v>6</v>
      </c>
      <c r="D16" s="481">
        <v>156</v>
      </c>
      <c r="E16" s="481" t="s">
        <v>130</v>
      </c>
      <c r="F16" s="482" t="s">
        <v>206</v>
      </c>
      <c r="G16" s="483">
        <f t="shared" si="0"/>
        <v>208.25</v>
      </c>
      <c r="I16">
        <v>2</v>
      </c>
      <c r="J16" s="472" t="s">
        <v>205</v>
      </c>
      <c r="K16" s="152">
        <v>39632</v>
      </c>
      <c r="L16" s="152">
        <v>39633</v>
      </c>
      <c r="M16" s="489">
        <v>15</v>
      </c>
      <c r="N16" s="142">
        <v>32</v>
      </c>
      <c r="O16" s="500">
        <v>48</v>
      </c>
      <c r="Q16" s="516" t="s">
        <v>205</v>
      </c>
      <c r="R16" s="500"/>
      <c r="T16" s="516"/>
      <c r="U16" s="523"/>
      <c r="W16" s="516"/>
      <c r="X16" s="523"/>
      <c r="Y16" s="489"/>
      <c r="Z16" s="142"/>
      <c r="AA16" s="142"/>
      <c r="AC16" s="516"/>
      <c r="AD16" s="516"/>
      <c r="AE16" s="516"/>
      <c r="AF16" s="516"/>
      <c r="AH16" s="3977" t="s">
        <v>964</v>
      </c>
      <c r="AI16" s="3978"/>
      <c r="AJ16" s="142">
        <v>200</v>
      </c>
    </row>
    <row r="17" spans="1:36" ht="15" outlineLevel="1">
      <c r="A17" s="584" t="s">
        <v>2049</v>
      </c>
      <c r="B17" s="585"/>
      <c r="C17" s="586">
        <v>7</v>
      </c>
      <c r="D17" s="587">
        <v>157</v>
      </c>
      <c r="E17" s="472" t="s">
        <v>131</v>
      </c>
      <c r="F17" t="s">
        <v>206</v>
      </c>
      <c r="G17" s="476">
        <f t="shared" si="0"/>
        <v>208.25</v>
      </c>
      <c r="J17" s="472" t="s">
        <v>205</v>
      </c>
      <c r="M17" s="489"/>
      <c r="N17" s="142"/>
      <c r="O17" s="500"/>
      <c r="P17" s="491" t="s">
        <v>3885</v>
      </c>
      <c r="Q17" s="515"/>
      <c r="R17" s="500">
        <v>96</v>
      </c>
      <c r="T17" s="515"/>
      <c r="U17" s="523">
        <v>0</v>
      </c>
      <c r="W17" s="515" t="s">
        <v>205</v>
      </c>
      <c r="X17" s="523">
        <v>0</v>
      </c>
      <c r="Y17" s="489"/>
      <c r="Z17" s="487"/>
      <c r="AA17" s="487"/>
      <c r="AB17" s="471"/>
      <c r="AC17" s="515"/>
      <c r="AD17" s="515"/>
      <c r="AE17" s="515"/>
      <c r="AF17" s="515"/>
      <c r="AG17" s="471"/>
      <c r="AH17" s="77"/>
      <c r="AI17" s="485"/>
      <c r="AJ17" s="142"/>
    </row>
    <row r="18" spans="1:36" ht="15" outlineLevel="1">
      <c r="A18" s="527" t="s">
        <v>2331</v>
      </c>
      <c r="B18" s="528"/>
      <c r="C18" s="588">
        <v>8</v>
      </c>
      <c r="D18" s="519">
        <v>158</v>
      </c>
      <c r="E18" s="519" t="s">
        <v>132</v>
      </c>
      <c r="F18" s="528" t="s">
        <v>206</v>
      </c>
      <c r="G18" s="591">
        <f t="shared" si="0"/>
        <v>208.25</v>
      </c>
      <c r="H18" s="528"/>
      <c r="I18" s="528"/>
      <c r="J18" s="519" t="s">
        <v>3796</v>
      </c>
      <c r="K18" s="528"/>
      <c r="L18" s="528"/>
      <c r="M18" s="592"/>
      <c r="N18" s="593"/>
      <c r="O18" s="594"/>
      <c r="P18" s="599"/>
      <c r="Q18" s="596"/>
      <c r="R18" s="594"/>
      <c r="S18" s="528"/>
      <c r="T18" s="596"/>
      <c r="U18" s="597">
        <v>0</v>
      </c>
      <c r="V18" s="528"/>
      <c r="W18" s="596"/>
      <c r="X18" s="597"/>
      <c r="Y18" s="592">
        <v>15</v>
      </c>
      <c r="Z18" s="593">
        <f>32+32</f>
        <v>64</v>
      </c>
      <c r="AA18" s="593"/>
      <c r="AB18" s="598">
        <f>+Y18+Z18</f>
        <v>79</v>
      </c>
      <c r="AC18" s="620" t="s">
        <v>3796</v>
      </c>
      <c r="AD18" s="620"/>
      <c r="AE18" s="620"/>
      <c r="AF18" s="620"/>
      <c r="AG18" s="598"/>
      <c r="AH18" s="3977" t="s">
        <v>2805</v>
      </c>
      <c r="AI18" s="3978"/>
      <c r="AJ18" s="487">
        <f>SUM(AJ14:AJ17)</f>
        <v>670</v>
      </c>
    </row>
    <row r="19" spans="1:36" ht="15" outlineLevel="1">
      <c r="A19" s="529" t="s">
        <v>2332</v>
      </c>
      <c r="B19" s="528"/>
      <c r="C19" s="588">
        <v>9</v>
      </c>
      <c r="D19" s="519">
        <v>159</v>
      </c>
      <c r="E19" s="590" t="s">
        <v>1115</v>
      </c>
      <c r="F19" s="600" t="s">
        <v>206</v>
      </c>
      <c r="G19" s="601">
        <f t="shared" si="0"/>
        <v>208.25</v>
      </c>
      <c r="H19" s="528"/>
      <c r="I19" s="528">
        <v>3</v>
      </c>
      <c r="J19" s="602" t="s">
        <v>2970</v>
      </c>
      <c r="K19" s="603">
        <v>39632</v>
      </c>
      <c r="L19" s="603">
        <v>39633</v>
      </c>
      <c r="M19" s="592">
        <v>15</v>
      </c>
      <c r="N19" s="593">
        <v>32</v>
      </c>
      <c r="O19" s="594">
        <v>48</v>
      </c>
      <c r="P19" s="595"/>
      <c r="Q19" s="596"/>
      <c r="R19" s="594"/>
      <c r="S19" s="528"/>
      <c r="T19" s="596"/>
      <c r="U19" s="597">
        <v>0</v>
      </c>
      <c r="V19" s="528"/>
      <c r="W19" s="596"/>
      <c r="X19" s="597"/>
      <c r="Y19" s="592">
        <v>15</v>
      </c>
      <c r="Z19" s="593">
        <f>32+32+16+32-62</f>
        <v>50</v>
      </c>
      <c r="AA19" s="593">
        <v>62</v>
      </c>
      <c r="AB19" s="598">
        <f>+Y19+Z19</f>
        <v>65</v>
      </c>
      <c r="AC19" s="596"/>
      <c r="AD19" s="596"/>
      <c r="AE19" s="620" t="s">
        <v>3796</v>
      </c>
      <c r="AF19" s="620"/>
      <c r="AG19" s="598"/>
      <c r="AH19" s="77"/>
      <c r="AI19" s="485"/>
      <c r="AJ19" s="142"/>
    </row>
    <row r="20" spans="1:36" ht="15" outlineLevel="1">
      <c r="C20" s="8">
        <v>10</v>
      </c>
      <c r="D20" s="481">
        <v>160</v>
      </c>
      <c r="E20" s="481" t="s">
        <v>1116</v>
      </c>
      <c r="F20" s="482" t="s">
        <v>206</v>
      </c>
      <c r="G20" s="483">
        <f t="shared" si="0"/>
        <v>208.25</v>
      </c>
      <c r="I20">
        <v>4</v>
      </c>
      <c r="J20" s="480" t="s">
        <v>205</v>
      </c>
      <c r="K20" s="152">
        <v>39632</v>
      </c>
      <c r="L20" s="152">
        <v>39633</v>
      </c>
      <c r="M20" s="489">
        <v>15</v>
      </c>
      <c r="N20" s="142">
        <v>32</v>
      </c>
      <c r="O20" s="500" t="s">
        <v>3796</v>
      </c>
      <c r="Q20" s="516"/>
      <c r="R20" s="500"/>
      <c r="T20" s="516"/>
      <c r="U20" s="523"/>
      <c r="W20" s="516"/>
      <c r="X20" s="523"/>
      <c r="Y20" s="489"/>
      <c r="Z20" s="142"/>
      <c r="AA20" s="142"/>
      <c r="AC20" s="516"/>
      <c r="AD20" s="516"/>
      <c r="AE20" s="516"/>
      <c r="AF20" s="516"/>
      <c r="AH20" s="3979" t="s">
        <v>2967</v>
      </c>
      <c r="AI20" s="3980"/>
      <c r="AJ20" s="487">
        <f>+AJ12-AJ18</f>
        <v>348</v>
      </c>
    </row>
    <row r="21" spans="1:36" ht="14.25">
      <c r="G21" s="477"/>
      <c r="H21" s="476">
        <f>SUM(G16:G20)</f>
        <v>1041.25</v>
      </c>
      <c r="K21" s="152"/>
      <c r="L21" s="152"/>
      <c r="M21" s="489"/>
      <c r="N21" s="142"/>
      <c r="O21" s="500"/>
      <c r="Q21" s="516"/>
      <c r="R21" s="500"/>
      <c r="T21" s="516"/>
      <c r="U21" s="523"/>
      <c r="W21" s="516"/>
      <c r="X21" s="523"/>
      <c r="Y21" s="489"/>
      <c r="Z21" s="142"/>
      <c r="AA21" s="142"/>
      <c r="AC21" s="516"/>
      <c r="AD21" s="516"/>
      <c r="AE21" s="516"/>
      <c r="AF21" s="516"/>
      <c r="AH21" s="79"/>
      <c r="AI21" s="145"/>
      <c r="AJ21" s="486"/>
    </row>
    <row r="22" spans="1:36" ht="14.25" outlineLevel="1">
      <c r="C22" s="8">
        <v>11</v>
      </c>
      <c r="D22" s="481">
        <v>161</v>
      </c>
      <c r="E22" s="481" t="s">
        <v>1117</v>
      </c>
      <c r="F22" s="482" t="s">
        <v>206</v>
      </c>
      <c r="G22" s="483">
        <f t="shared" si="0"/>
        <v>208.25</v>
      </c>
      <c r="I22">
        <v>5</v>
      </c>
      <c r="J22" s="472" t="s">
        <v>205</v>
      </c>
      <c r="K22" s="152">
        <v>39632</v>
      </c>
      <c r="L22" s="152">
        <v>39633</v>
      </c>
      <c r="M22" s="489">
        <v>15</v>
      </c>
      <c r="N22" s="142">
        <v>32</v>
      </c>
      <c r="O22" s="500">
        <v>48</v>
      </c>
      <c r="Q22" s="516" t="s">
        <v>205</v>
      </c>
      <c r="R22" s="500"/>
      <c r="T22" s="516"/>
      <c r="U22" s="523"/>
      <c r="W22" s="516"/>
      <c r="X22" s="523"/>
      <c r="Y22" s="489"/>
      <c r="Z22" s="142"/>
      <c r="AA22" s="142"/>
      <c r="AC22" s="516"/>
      <c r="AD22" s="516"/>
      <c r="AE22" s="516"/>
      <c r="AF22" s="516"/>
    </row>
    <row r="23" spans="1:36" ht="15" outlineLevel="1">
      <c r="A23" s="530" t="s">
        <v>4483</v>
      </c>
      <c r="B23" s="528"/>
      <c r="C23" s="588">
        <v>12</v>
      </c>
      <c r="D23" s="519">
        <v>162</v>
      </c>
      <c r="E23" s="590" t="s">
        <v>4654</v>
      </c>
      <c r="F23" s="600" t="s">
        <v>206</v>
      </c>
      <c r="G23" s="601">
        <f t="shared" si="0"/>
        <v>208.25</v>
      </c>
      <c r="H23" s="528"/>
      <c r="I23" s="528">
        <v>6</v>
      </c>
      <c r="J23" s="519"/>
      <c r="K23" s="603">
        <v>39632</v>
      </c>
      <c r="L23" s="603">
        <v>39633</v>
      </c>
      <c r="M23" s="592">
        <v>15</v>
      </c>
      <c r="N23" s="593">
        <v>32</v>
      </c>
      <c r="O23" s="594">
        <v>64</v>
      </c>
      <c r="P23" s="595"/>
      <c r="Q23" s="596"/>
      <c r="R23" s="594"/>
      <c r="S23" s="528"/>
      <c r="T23" s="596"/>
      <c r="U23" s="597">
        <v>0</v>
      </c>
      <c r="V23" s="528"/>
      <c r="W23" s="596"/>
      <c r="X23" s="597"/>
      <c r="Y23" s="592">
        <v>15</v>
      </c>
      <c r="Z23" s="593">
        <v>32</v>
      </c>
      <c r="AA23" s="593"/>
      <c r="AB23" s="598">
        <f>+Y23+Z23</f>
        <v>47</v>
      </c>
      <c r="AC23" s="596"/>
      <c r="AD23" s="620" t="s">
        <v>3796</v>
      </c>
      <c r="AE23" s="620"/>
      <c r="AF23" s="620"/>
      <c r="AG23" s="598"/>
      <c r="AH23" s="139"/>
      <c r="AI23" s="140"/>
      <c r="AJ23" s="141"/>
    </row>
    <row r="24" spans="1:36" ht="15" outlineLevel="1">
      <c r="C24" s="8">
        <v>13</v>
      </c>
      <c r="D24" s="472">
        <v>163</v>
      </c>
      <c r="E24" s="480" t="s">
        <v>4655</v>
      </c>
      <c r="F24" t="s">
        <v>206</v>
      </c>
      <c r="G24" s="476">
        <f t="shared" si="0"/>
        <v>208.25</v>
      </c>
      <c r="J24" s="472" t="s">
        <v>205</v>
      </c>
      <c r="M24" s="489"/>
      <c r="N24" s="142"/>
      <c r="O24" s="500"/>
      <c r="P24" s="491" t="s">
        <v>3422</v>
      </c>
      <c r="Q24" s="515"/>
      <c r="R24" s="500"/>
      <c r="T24" s="515" t="s">
        <v>205</v>
      </c>
      <c r="U24" s="523"/>
      <c r="W24" s="515"/>
      <c r="X24" s="523"/>
      <c r="Y24" s="489"/>
      <c r="Z24" s="487"/>
      <c r="AA24" s="487"/>
      <c r="AB24" s="471"/>
      <c r="AC24" s="515"/>
      <c r="AD24" s="515"/>
      <c r="AE24" s="515"/>
      <c r="AF24" s="515"/>
      <c r="AG24" s="471"/>
      <c r="AH24" s="3979" t="s">
        <v>2967</v>
      </c>
      <c r="AI24" s="3980"/>
      <c r="AJ24" s="487">
        <f>+AJ20</f>
        <v>348</v>
      </c>
    </row>
    <row r="25" spans="1:36" ht="14.25" outlineLevel="1">
      <c r="C25" s="8">
        <v>14</v>
      </c>
      <c r="D25" s="481">
        <v>164</v>
      </c>
      <c r="E25" s="481" t="s">
        <v>4656</v>
      </c>
      <c r="F25" s="482" t="s">
        <v>206</v>
      </c>
      <c r="G25" s="483">
        <f t="shared" si="0"/>
        <v>208.25</v>
      </c>
      <c r="I25">
        <v>7</v>
      </c>
      <c r="J25" s="472" t="s">
        <v>205</v>
      </c>
      <c r="K25" s="152">
        <v>39632</v>
      </c>
      <c r="L25" s="152">
        <v>39633</v>
      </c>
      <c r="M25" s="489">
        <v>15</v>
      </c>
      <c r="N25" s="142">
        <v>32</v>
      </c>
      <c r="O25" s="500">
        <v>48</v>
      </c>
      <c r="Q25" s="516" t="s">
        <v>205</v>
      </c>
      <c r="R25" s="500"/>
      <c r="T25" s="516"/>
      <c r="U25" s="523"/>
      <c r="W25" s="516"/>
      <c r="X25" s="523"/>
      <c r="Y25" s="489"/>
      <c r="Z25" s="142"/>
      <c r="AA25" s="142"/>
      <c r="AC25" s="516"/>
      <c r="AD25" s="516"/>
      <c r="AE25" s="516"/>
      <c r="AF25" s="516"/>
      <c r="AH25" s="3977" t="s">
        <v>1544</v>
      </c>
      <c r="AI25" s="3978"/>
      <c r="AJ25" s="488">
        <v>300</v>
      </c>
    </row>
    <row r="26" spans="1:36" ht="14.25" outlineLevel="1">
      <c r="C26" s="8">
        <v>15</v>
      </c>
      <c r="D26" s="472">
        <v>165</v>
      </c>
      <c r="E26" s="472" t="s">
        <v>4657</v>
      </c>
      <c r="F26" t="s">
        <v>206</v>
      </c>
      <c r="G26" s="476">
        <f t="shared" si="0"/>
        <v>208.25</v>
      </c>
      <c r="J26" s="472" t="s">
        <v>205</v>
      </c>
      <c r="M26" s="489"/>
      <c r="N26" s="142"/>
      <c r="O26" s="500"/>
      <c r="P26" s="491" t="s">
        <v>3421</v>
      </c>
      <c r="Q26" s="516" t="s">
        <v>205</v>
      </c>
      <c r="R26" s="500"/>
      <c r="T26" s="516"/>
      <c r="U26" s="523"/>
      <c r="W26" s="516"/>
      <c r="X26" s="523"/>
      <c r="Y26" s="489"/>
      <c r="Z26" s="487"/>
      <c r="AA26" s="487"/>
      <c r="AB26" s="471"/>
      <c r="AC26" s="516"/>
      <c r="AD26" s="516"/>
      <c r="AE26" s="516"/>
      <c r="AF26" s="516"/>
      <c r="AG26" s="471"/>
      <c r="AH26" s="77"/>
      <c r="AI26" s="75"/>
      <c r="AJ26" s="142"/>
    </row>
    <row r="27" spans="1:36" ht="14.25">
      <c r="G27" s="477"/>
      <c r="H27" s="476">
        <f>SUM(G22:G26)</f>
        <v>1041.25</v>
      </c>
      <c r="M27" s="489"/>
      <c r="N27" s="142"/>
      <c r="O27" s="500"/>
      <c r="Q27" s="516"/>
      <c r="R27" s="500"/>
      <c r="T27" s="516"/>
      <c r="U27" s="523"/>
      <c r="W27" s="516"/>
      <c r="X27" s="523"/>
      <c r="Y27" s="489"/>
      <c r="Z27" s="142"/>
      <c r="AA27" s="142"/>
      <c r="AC27" s="516"/>
      <c r="AD27" s="516"/>
      <c r="AE27" s="516"/>
      <c r="AF27" s="516"/>
      <c r="AH27" s="3981" t="s">
        <v>3797</v>
      </c>
      <c r="AI27" s="3982"/>
      <c r="AJ27" s="142">
        <f>+Y34</f>
        <v>0</v>
      </c>
    </row>
    <row r="28" spans="1:36" ht="15" outlineLevel="1">
      <c r="C28" s="8">
        <v>16</v>
      </c>
      <c r="D28" s="472">
        <v>166</v>
      </c>
      <c r="E28" s="472" t="s">
        <v>900</v>
      </c>
      <c r="F28" t="s">
        <v>206</v>
      </c>
      <c r="G28" s="476">
        <f t="shared" si="0"/>
        <v>208.25</v>
      </c>
      <c r="J28" s="472" t="s">
        <v>205</v>
      </c>
      <c r="M28" s="489"/>
      <c r="N28" s="142"/>
      <c r="O28" s="500"/>
      <c r="P28" s="491" t="s">
        <v>500</v>
      </c>
      <c r="Q28" s="515"/>
      <c r="R28" s="500">
        <v>96</v>
      </c>
      <c r="T28" s="515" t="s">
        <v>205</v>
      </c>
      <c r="U28" s="523"/>
      <c r="W28" s="515"/>
      <c r="X28" s="523"/>
      <c r="Y28" s="489"/>
      <c r="Z28" s="487"/>
      <c r="AA28" s="487"/>
      <c r="AB28" s="471"/>
      <c r="AC28" s="515"/>
      <c r="AD28" s="515"/>
      <c r="AE28" s="515"/>
      <c r="AF28" s="515"/>
      <c r="AG28" s="471"/>
      <c r="AH28" s="3981" t="s">
        <v>3507</v>
      </c>
      <c r="AI28" s="3982"/>
      <c r="AJ28" s="142">
        <f>+Z34</f>
        <v>0</v>
      </c>
    </row>
    <row r="29" spans="1:36" ht="14.25" outlineLevel="1">
      <c r="C29" s="8">
        <v>17</v>
      </c>
      <c r="D29" s="481">
        <v>167</v>
      </c>
      <c r="E29" s="481" t="s">
        <v>901</v>
      </c>
      <c r="F29" s="482" t="s">
        <v>206</v>
      </c>
      <c r="G29" s="483">
        <f t="shared" si="0"/>
        <v>208.25</v>
      </c>
      <c r="I29">
        <v>8</v>
      </c>
      <c r="J29" s="472" t="s">
        <v>205</v>
      </c>
      <c r="K29" s="152">
        <v>39632</v>
      </c>
      <c r="L29" s="152">
        <v>39633</v>
      </c>
      <c r="M29" s="489">
        <v>15</v>
      </c>
      <c r="N29" s="142">
        <v>32</v>
      </c>
      <c r="O29" s="500">
        <v>32</v>
      </c>
      <c r="Q29" s="516" t="s">
        <v>205</v>
      </c>
      <c r="R29" s="500"/>
      <c r="T29" s="516"/>
      <c r="U29" s="523"/>
      <c r="W29" s="516"/>
      <c r="X29" s="523"/>
      <c r="Y29" s="489"/>
      <c r="Z29" s="142"/>
      <c r="AA29" s="142"/>
      <c r="AC29" s="516"/>
      <c r="AD29" s="516"/>
      <c r="AE29" s="516"/>
      <c r="AF29" s="516"/>
      <c r="AH29" s="3977" t="s">
        <v>964</v>
      </c>
      <c r="AI29" s="3978"/>
      <c r="AJ29" s="142">
        <v>0</v>
      </c>
    </row>
    <row r="30" spans="1:36" ht="14.25" outlineLevel="1">
      <c r="C30" s="8">
        <v>18</v>
      </c>
      <c r="D30" s="472">
        <v>168</v>
      </c>
      <c r="E30" s="472" t="s">
        <v>902</v>
      </c>
      <c r="F30" t="s">
        <v>206</v>
      </c>
      <c r="G30" s="476">
        <f t="shared" si="0"/>
        <v>208.25</v>
      </c>
      <c r="J30" s="472" t="s">
        <v>205</v>
      </c>
      <c r="M30" s="489"/>
      <c r="N30" s="142"/>
      <c r="O30" s="500"/>
      <c r="P30" s="491" t="s">
        <v>753</v>
      </c>
      <c r="Q30" s="516" t="s">
        <v>205</v>
      </c>
      <c r="R30" s="500"/>
      <c r="T30" s="516"/>
      <c r="U30" s="523"/>
      <c r="W30" s="516"/>
      <c r="X30" s="523"/>
      <c r="Y30" s="489"/>
      <c r="Z30" s="487"/>
      <c r="AA30" s="487"/>
      <c r="AB30" s="471"/>
      <c r="AC30" s="516"/>
      <c r="AD30" s="516"/>
      <c r="AE30" s="516"/>
      <c r="AF30" s="516"/>
      <c r="AG30" s="471"/>
      <c r="AH30" s="77"/>
      <c r="AI30" s="485"/>
      <c r="AJ30" s="142"/>
    </row>
    <row r="31" spans="1:36" ht="14.25" outlineLevel="1">
      <c r="C31" s="8">
        <v>19</v>
      </c>
      <c r="D31" s="481">
        <v>169</v>
      </c>
      <c r="E31" s="481" t="s">
        <v>903</v>
      </c>
      <c r="F31" s="482" t="s">
        <v>206</v>
      </c>
      <c r="G31" s="483">
        <f t="shared" si="0"/>
        <v>208.25</v>
      </c>
      <c r="I31">
        <v>9</v>
      </c>
      <c r="J31" s="472" t="s">
        <v>205</v>
      </c>
      <c r="K31" s="152">
        <v>39632</v>
      </c>
      <c r="L31" s="152">
        <v>39633</v>
      </c>
      <c r="M31" s="489">
        <v>15</v>
      </c>
      <c r="N31" s="142">
        <v>32</v>
      </c>
      <c r="O31" s="500" t="s">
        <v>3796</v>
      </c>
      <c r="Q31" s="516"/>
      <c r="R31" s="500"/>
      <c r="T31" s="516"/>
      <c r="U31" s="523"/>
      <c r="W31" s="516"/>
      <c r="X31" s="523"/>
      <c r="Y31" s="489"/>
      <c r="Z31" s="142"/>
      <c r="AA31" s="142"/>
      <c r="AC31" s="516"/>
      <c r="AD31" s="516"/>
      <c r="AE31" s="516"/>
      <c r="AF31" s="516"/>
      <c r="AH31" s="3977" t="s">
        <v>2805</v>
      </c>
      <c r="AI31" s="3978"/>
      <c r="AJ31" s="487">
        <f>SUM(AJ27:AJ30)</f>
        <v>0</v>
      </c>
    </row>
    <row r="32" spans="1:36" ht="14.25" outlineLevel="1">
      <c r="C32" s="8">
        <v>20</v>
      </c>
      <c r="D32" s="481">
        <v>170</v>
      </c>
      <c r="E32" s="481" t="s">
        <v>904</v>
      </c>
      <c r="F32" s="482" t="s">
        <v>206</v>
      </c>
      <c r="G32" s="483">
        <f t="shared" si="0"/>
        <v>208.25</v>
      </c>
      <c r="I32">
        <v>10</v>
      </c>
      <c r="J32" s="472" t="s">
        <v>205</v>
      </c>
      <c r="K32" s="152">
        <v>39632</v>
      </c>
      <c r="L32" s="152">
        <v>39633</v>
      </c>
      <c r="M32" s="489">
        <v>15</v>
      </c>
      <c r="N32" s="142">
        <v>32</v>
      </c>
      <c r="O32" s="500" t="s">
        <v>3796</v>
      </c>
      <c r="Q32" s="516"/>
      <c r="R32" s="500"/>
      <c r="T32" s="516"/>
      <c r="U32" s="523"/>
      <c r="W32" s="516"/>
      <c r="X32" s="523"/>
      <c r="Y32" s="489"/>
      <c r="Z32" s="142"/>
      <c r="AA32" s="142"/>
      <c r="AC32" s="516"/>
      <c r="AD32" s="516"/>
      <c r="AE32" s="516"/>
      <c r="AF32" s="516"/>
      <c r="AH32" s="77"/>
      <c r="AI32" s="485"/>
      <c r="AJ32" s="142"/>
    </row>
    <row r="33" spans="2:37" ht="14.25">
      <c r="G33" s="477"/>
      <c r="H33" s="476">
        <f>SUM(G28:G32)</f>
        <v>1041.25</v>
      </c>
      <c r="M33" s="489"/>
      <c r="N33" s="142"/>
      <c r="O33" s="500"/>
      <c r="Q33" s="516"/>
      <c r="R33" s="500"/>
      <c r="T33" s="516"/>
      <c r="U33" s="523"/>
      <c r="W33" s="516"/>
      <c r="X33" s="523"/>
      <c r="Y33" s="489"/>
      <c r="Z33" s="142"/>
      <c r="AA33" s="142"/>
      <c r="AC33" s="516"/>
      <c r="AD33" s="516"/>
      <c r="AE33" s="516"/>
      <c r="AF33" s="516"/>
      <c r="AH33" s="3977" t="s">
        <v>752</v>
      </c>
      <c r="AI33" s="3978"/>
      <c r="AJ33" s="487">
        <f>AJ24+AJ25-AJ31</f>
        <v>648</v>
      </c>
      <c r="AK33" s="492">
        <f>128-AJ33</f>
        <v>-520</v>
      </c>
    </row>
    <row r="34" spans="2:37" ht="14.25">
      <c r="C34" s="473" t="s">
        <v>866</v>
      </c>
      <c r="D34" s="484"/>
      <c r="E34" s="493">
        <f>175*1.19</f>
        <v>208.25</v>
      </c>
      <c r="F34" s="13" t="s">
        <v>213</v>
      </c>
      <c r="H34" s="477"/>
      <c r="M34" s="490">
        <f>SUM(M10:M32)</f>
        <v>150</v>
      </c>
      <c r="N34" s="486">
        <f>SUM(N10:N32)</f>
        <v>320</v>
      </c>
      <c r="O34" s="501"/>
      <c r="Q34" s="517"/>
      <c r="R34" s="501"/>
      <c r="T34" s="517"/>
      <c r="U34" s="524"/>
      <c r="W34" s="517"/>
      <c r="X34" s="524"/>
      <c r="Y34" s="490"/>
      <c r="Z34" s="486"/>
      <c r="AA34" s="486"/>
      <c r="AC34" s="517"/>
      <c r="AD34" s="517"/>
      <c r="AE34" s="517"/>
      <c r="AF34" s="517"/>
      <c r="AH34" s="79"/>
      <c r="AI34" s="145"/>
      <c r="AJ34" s="486"/>
    </row>
    <row r="35" spans="2:37" ht="15.75">
      <c r="C35" s="475" t="s">
        <v>1971</v>
      </c>
      <c r="D35" s="199"/>
      <c r="E35" s="199"/>
      <c r="F35" s="98"/>
      <c r="H35" s="477">
        <f>SUM(H33,H27,H21,H15)</f>
        <v>4165</v>
      </c>
      <c r="J35" s="472">
        <f>COUNTIF(J10:J33,"Ok")</f>
        <v>17</v>
      </c>
      <c r="M35" s="3983">
        <f>+M34+N34</f>
        <v>470</v>
      </c>
      <c r="N35" s="3983"/>
      <c r="O35" s="503">
        <f>SUM(O10:O34)</f>
        <v>288</v>
      </c>
      <c r="Q35" s="499"/>
      <c r="R35" s="503">
        <f>SUM(R10:R34)</f>
        <v>352</v>
      </c>
      <c r="T35" s="499"/>
      <c r="U35" s="503">
        <f>SUM(U10:U34)</f>
        <v>0</v>
      </c>
      <c r="W35" s="499"/>
      <c r="X35" s="503">
        <f>SUM(X10:X34)</f>
        <v>0</v>
      </c>
      <c r="Y35" s="3984">
        <f>SUM(Y10:Z34)</f>
        <v>270</v>
      </c>
      <c r="Z35" s="3984"/>
      <c r="AA35" s="499"/>
      <c r="AB35" s="499"/>
      <c r="AC35" s="499"/>
      <c r="AD35" s="499"/>
      <c r="AE35" s="499"/>
      <c r="AF35" s="499"/>
      <c r="AG35" s="499"/>
      <c r="AJ35" s="492"/>
    </row>
    <row r="36" spans="2:37" ht="15.75">
      <c r="C36" s="475" t="s">
        <v>4647</v>
      </c>
      <c r="D36" s="199"/>
      <c r="E36" s="199"/>
      <c r="F36" s="98"/>
      <c r="P36" s="491"/>
    </row>
    <row r="37" spans="2:37">
      <c r="P37" s="491"/>
      <c r="Q37" s="497"/>
      <c r="T37" s="497"/>
      <c r="W37" s="497"/>
      <c r="Z37" s="497"/>
      <c r="AA37" s="497"/>
      <c r="AB37" s="497"/>
      <c r="AC37" s="497"/>
      <c r="AD37" s="497"/>
      <c r="AE37" s="497"/>
      <c r="AF37" s="497"/>
      <c r="AG37" s="497"/>
    </row>
    <row r="38" spans="2:37">
      <c r="G38" s="90">
        <f>+E34*20</f>
        <v>4165</v>
      </c>
      <c r="N38" s="90">
        <f>+M35+O35+Y35</f>
        <v>1028</v>
      </c>
      <c r="Q38" s="498"/>
      <c r="T38" s="498"/>
      <c r="W38" s="498"/>
      <c r="Y38" s="90">
        <v>144</v>
      </c>
      <c r="Z38" s="498"/>
      <c r="AA38" s="498"/>
      <c r="AB38" s="498"/>
      <c r="AC38" s="498"/>
      <c r="AD38" s="498"/>
      <c r="AE38" s="498"/>
      <c r="AF38" s="498"/>
      <c r="AG38" s="498"/>
    </row>
    <row r="39" spans="2:37">
      <c r="C39" s="494">
        <v>39619</v>
      </c>
      <c r="D39" s="8">
        <v>100</v>
      </c>
      <c r="E39" s="495" t="s">
        <v>3508</v>
      </c>
      <c r="Y39" s="90">
        <v>144</v>
      </c>
      <c r="AJ39" s="496"/>
    </row>
    <row r="40" spans="2:37">
      <c r="C40" s="494">
        <v>39627</v>
      </c>
      <c r="D40" s="8">
        <v>200</v>
      </c>
      <c r="E40" s="495" t="s">
        <v>3508</v>
      </c>
      <c r="G40">
        <v>1800</v>
      </c>
      <c r="Y40" s="90">
        <v>200</v>
      </c>
    </row>
    <row r="41" spans="2:37">
      <c r="C41" s="494">
        <v>39631</v>
      </c>
      <c r="D41" s="8">
        <v>200</v>
      </c>
      <c r="E41" s="495" t="s">
        <v>3508</v>
      </c>
      <c r="Y41" s="471">
        <f>+Y40+Y39</f>
        <v>344</v>
      </c>
    </row>
    <row r="42" spans="2:37">
      <c r="C42" s="494">
        <v>39645</v>
      </c>
      <c r="D42" s="212">
        <v>200</v>
      </c>
      <c r="G42" s="492">
        <f>+G38+G40+N38</f>
        <v>6993</v>
      </c>
    </row>
    <row r="43" spans="2:37">
      <c r="C43" s="494">
        <v>39653</v>
      </c>
      <c r="D43" s="38">
        <v>200</v>
      </c>
      <c r="G43" s="492"/>
    </row>
    <row r="44" spans="2:37">
      <c r="C44" s="494">
        <v>39661</v>
      </c>
      <c r="D44" s="53">
        <v>200</v>
      </c>
      <c r="G44" s="492"/>
    </row>
    <row r="46" spans="2:37">
      <c r="G46" s="531"/>
    </row>
    <row r="47" spans="2:37">
      <c r="B47" s="532" t="s">
        <v>2988</v>
      </c>
      <c r="C47" s="518"/>
      <c r="D47" s="518">
        <f>SUM(D39:D46)</f>
        <v>1100</v>
      </c>
      <c r="E47" s="518"/>
      <c r="F47" s="533" t="s">
        <v>3768</v>
      </c>
      <c r="G47" s="534">
        <f>+F48-D47</f>
        <v>500</v>
      </c>
    </row>
    <row r="48" spans="2:37">
      <c r="B48" s="79"/>
      <c r="C48" s="204"/>
      <c r="D48" s="535" t="s">
        <v>469</v>
      </c>
      <c r="E48" s="204"/>
      <c r="F48" s="536">
        <f>80*20</f>
        <v>1600</v>
      </c>
      <c r="G48" s="144"/>
    </row>
    <row r="50" spans="2:13">
      <c r="B50" t="s">
        <v>1199</v>
      </c>
    </row>
    <row r="51" spans="2:13">
      <c r="D51" s="8" t="s">
        <v>4980</v>
      </c>
      <c r="E51" s="8" t="s">
        <v>1555</v>
      </c>
      <c r="F51" s="73" t="s">
        <v>4981</v>
      </c>
      <c r="M51" s="90">
        <v>0</v>
      </c>
    </row>
    <row r="52" spans="2:13">
      <c r="D52" s="8" t="s">
        <v>85</v>
      </c>
      <c r="E52" s="8" t="s">
        <v>1115</v>
      </c>
      <c r="F52" s="66">
        <v>39766</v>
      </c>
      <c r="M52" s="90">
        <v>100</v>
      </c>
    </row>
    <row r="53" spans="2:13">
      <c r="D53" s="8" t="s">
        <v>84</v>
      </c>
      <c r="E53" s="8" t="s">
        <v>4654</v>
      </c>
      <c r="F53" s="66">
        <v>39763</v>
      </c>
      <c r="M53" s="145">
        <v>100</v>
      </c>
    </row>
    <row r="54" spans="2:13">
      <c r="M54" s="90">
        <f>SUM(M51:M53)</f>
        <v>200</v>
      </c>
    </row>
    <row r="55" spans="2:13" ht="15.75">
      <c r="B55" s="634" t="s">
        <v>1811</v>
      </c>
    </row>
    <row r="59" spans="2:13">
      <c r="C59" s="8">
        <f>15*1.19</f>
        <v>17.849999999999998</v>
      </c>
      <c r="D59" s="8">
        <v>10</v>
      </c>
      <c r="E59" s="8">
        <f>+D59*C59</f>
        <v>178.49999999999997</v>
      </c>
    </row>
    <row r="60" spans="2:13">
      <c r="C60" s="8">
        <v>64</v>
      </c>
      <c r="D60" s="8">
        <v>10</v>
      </c>
      <c r="E60" s="8">
        <f>+D60*C60</f>
        <v>640</v>
      </c>
    </row>
    <row r="61" spans="2:13">
      <c r="C61" s="8">
        <f>+C60+C59</f>
        <v>81.849999999999994</v>
      </c>
      <c r="D61" s="8">
        <v>10</v>
      </c>
      <c r="E61" s="8">
        <f>+D61*C61</f>
        <v>818.5</v>
      </c>
    </row>
    <row r="62" spans="2:13">
      <c r="E62" s="8">
        <v>200</v>
      </c>
    </row>
    <row r="63" spans="2:13">
      <c r="E63" s="480">
        <f>+E62+E61</f>
        <v>1018.5</v>
      </c>
    </row>
    <row r="65" spans="2:6">
      <c r="C65" s="8">
        <v>30</v>
      </c>
      <c r="D65" s="8">
        <v>20</v>
      </c>
      <c r="E65" s="8">
        <f>+C65*D65</f>
        <v>600</v>
      </c>
    </row>
    <row r="66" spans="2:6">
      <c r="B66" s="90"/>
      <c r="C66" s="8">
        <v>60</v>
      </c>
      <c r="D66" s="8">
        <v>20</v>
      </c>
      <c r="E66" s="8">
        <f>+C66*D66</f>
        <v>1200</v>
      </c>
    </row>
    <row r="67" spans="2:6">
      <c r="C67" s="8">
        <v>80</v>
      </c>
      <c r="D67" s="8">
        <v>20</v>
      </c>
      <c r="E67" s="472">
        <f>+D67*C67</f>
        <v>1600</v>
      </c>
      <c r="F67" s="502" t="s">
        <v>2969</v>
      </c>
    </row>
    <row r="70" spans="2:6">
      <c r="C70" s="8">
        <v>600</v>
      </c>
      <c r="D70" s="8">
        <v>20</v>
      </c>
      <c r="E70" s="8">
        <f>+D70*C70</f>
        <v>12000</v>
      </c>
    </row>
    <row r="72" spans="2:6">
      <c r="C72" s="504"/>
    </row>
  </sheetData>
  <mergeCells count="16">
    <mergeCell ref="AH33:AI33"/>
    <mergeCell ref="AH24:AI24"/>
    <mergeCell ref="M35:N35"/>
    <mergeCell ref="Y35:Z35"/>
    <mergeCell ref="AH25:AI25"/>
    <mergeCell ref="AH27:AI27"/>
    <mergeCell ref="AH28:AI28"/>
    <mergeCell ref="AH29:AI29"/>
    <mergeCell ref="AH31:AI31"/>
    <mergeCell ref="A8:B8"/>
    <mergeCell ref="AH12:AI12"/>
    <mergeCell ref="AH18:AI18"/>
    <mergeCell ref="AH20:AI20"/>
    <mergeCell ref="AH14:AI14"/>
    <mergeCell ref="AH15:AI15"/>
    <mergeCell ref="AH16:AI16"/>
  </mergeCells>
  <phoneticPr fontId="0" type="noConversion"/>
  <pageMargins left="0.75" right="0.75" top="0.81" bottom="1" header="0" footer="0"/>
  <pageSetup paperSize="9" scale="83" orientation="landscape" horizontalDpi="120" verticalDpi="72" r:id="rId1"/>
  <legacyDrawing r:id="rId2"/>
</worksheet>
</file>

<file path=xl/worksheets/sheet24.xml><?xml version="1.0" encoding="utf-8"?>
<worksheet xmlns="http://schemas.openxmlformats.org/spreadsheetml/2006/main" xmlns:r="http://schemas.openxmlformats.org/officeDocument/2006/relationships">
  <sheetPr codeName="Hoja26">
    <pageSetUpPr fitToPage="1"/>
  </sheetPr>
  <dimension ref="B2:M83"/>
  <sheetViews>
    <sheetView zoomScale="73" workbookViewId="0">
      <selection activeCell="J1" sqref="J1"/>
    </sheetView>
  </sheetViews>
  <sheetFormatPr baseColWidth="10" defaultRowHeight="15"/>
  <cols>
    <col min="1" max="2" width="4.7109375" customWidth="1"/>
    <col min="3" max="3" width="5.5703125" style="8" customWidth="1"/>
    <col min="4" max="7" width="15.7109375" style="98" customWidth="1"/>
    <col min="8" max="8" width="17.42578125" style="99" customWidth="1"/>
    <col min="9" max="9" width="17.42578125" style="98" customWidth="1"/>
    <col min="10" max="10" width="18.7109375" style="98" customWidth="1"/>
    <col min="11" max="11" width="18.7109375" style="98" hidden="1" customWidth="1"/>
    <col min="12" max="12" width="20.7109375" style="98" customWidth="1"/>
    <col min="13" max="13" width="13.7109375" style="98" bestFit="1" customWidth="1"/>
    <col min="14" max="14" width="50.7109375" customWidth="1"/>
    <col min="15" max="15" width="30.7109375" customWidth="1"/>
  </cols>
  <sheetData>
    <row r="2" spans="2:13" ht="21.75" customHeight="1">
      <c r="C2" s="3986" t="s">
        <v>2867</v>
      </c>
      <c r="D2" s="3986"/>
      <c r="E2" s="3986"/>
      <c r="F2" s="3986"/>
      <c r="G2" s="3986"/>
      <c r="H2" s="3986"/>
      <c r="I2" s="3986"/>
      <c r="J2" s="3986"/>
      <c r="K2" s="3986"/>
      <c r="L2" s="3986"/>
      <c r="M2" s="15"/>
    </row>
    <row r="3" spans="2:13">
      <c r="D3" s="100">
        <v>39146</v>
      </c>
    </row>
    <row r="4" spans="2:13" ht="17.25" customHeight="1">
      <c r="C4" s="3985" t="s">
        <v>588</v>
      </c>
      <c r="D4" s="3985"/>
      <c r="E4" s="3985"/>
      <c r="F4" s="3985"/>
      <c r="G4" s="3985"/>
      <c r="H4" s="3985"/>
      <c r="I4" s="3985"/>
      <c r="J4" s="3985"/>
      <c r="K4" s="3985"/>
      <c r="L4" s="3985"/>
      <c r="M4" s="110"/>
    </row>
    <row r="5" spans="2:13">
      <c r="C5" s="9" t="s">
        <v>589</v>
      </c>
      <c r="D5" s="88" t="s">
        <v>590</v>
      </c>
      <c r="E5" s="88" t="s">
        <v>1883</v>
      </c>
      <c r="F5" s="88" t="s">
        <v>1884</v>
      </c>
      <c r="G5" s="88" t="s">
        <v>1885</v>
      </c>
      <c r="H5" s="101" t="s">
        <v>4768</v>
      </c>
      <c r="I5" s="88" t="s">
        <v>3430</v>
      </c>
      <c r="J5" s="88" t="s">
        <v>3469</v>
      </c>
      <c r="K5" s="88" t="s">
        <v>203</v>
      </c>
      <c r="L5" s="88" t="s">
        <v>4769</v>
      </c>
      <c r="M5" s="111"/>
    </row>
    <row r="6" spans="2:13">
      <c r="B6">
        <f>1+B5</f>
        <v>1</v>
      </c>
      <c r="C6" s="9">
        <v>1</v>
      </c>
      <c r="D6" s="102" t="s">
        <v>1228</v>
      </c>
      <c r="E6" s="102" t="s">
        <v>1412</v>
      </c>
      <c r="F6" s="102" t="s">
        <v>4115</v>
      </c>
      <c r="G6" s="102" t="s">
        <v>4116</v>
      </c>
      <c r="H6" s="104" t="s">
        <v>871</v>
      </c>
      <c r="I6" s="102" t="s">
        <v>4770</v>
      </c>
      <c r="J6" s="88" t="s">
        <v>3413</v>
      </c>
      <c r="K6" s="88" t="s">
        <v>4144</v>
      </c>
      <c r="L6" s="102" t="s">
        <v>4771</v>
      </c>
      <c r="M6" s="112"/>
    </row>
    <row r="7" spans="2:13">
      <c r="B7">
        <v>2</v>
      </c>
      <c r="C7" s="9">
        <v>2</v>
      </c>
      <c r="D7" s="102" t="s">
        <v>1980</v>
      </c>
      <c r="E7" s="102" t="s">
        <v>1412</v>
      </c>
      <c r="F7" s="102" t="s">
        <v>1981</v>
      </c>
      <c r="G7" s="102" t="s">
        <v>1982</v>
      </c>
      <c r="H7" s="104" t="s">
        <v>871</v>
      </c>
      <c r="I7" s="102" t="s">
        <v>4770</v>
      </c>
      <c r="J7" s="88" t="s">
        <v>3413</v>
      </c>
      <c r="K7" s="88" t="s">
        <v>4144</v>
      </c>
      <c r="L7" s="102" t="s">
        <v>4051</v>
      </c>
      <c r="M7" s="112"/>
    </row>
    <row r="8" spans="2:13">
      <c r="B8">
        <v>3</v>
      </c>
      <c r="C8" s="9">
        <v>3</v>
      </c>
      <c r="D8" s="102" t="s">
        <v>4117</v>
      </c>
      <c r="E8" s="102" t="s">
        <v>4118</v>
      </c>
      <c r="F8" s="102" t="s">
        <v>4119</v>
      </c>
      <c r="G8" s="102" t="s">
        <v>3560</v>
      </c>
      <c r="H8" s="104" t="s">
        <v>871</v>
      </c>
      <c r="I8" s="102" t="s">
        <v>4770</v>
      </c>
      <c r="J8" s="88" t="s">
        <v>3413</v>
      </c>
      <c r="K8" s="88" t="s">
        <v>4144</v>
      </c>
      <c r="L8" s="102" t="s">
        <v>70</v>
      </c>
      <c r="M8" s="112"/>
    </row>
    <row r="9" spans="2:13">
      <c r="B9">
        <v>4</v>
      </c>
      <c r="C9" s="9">
        <v>4</v>
      </c>
      <c r="D9" s="102" t="s">
        <v>1738</v>
      </c>
      <c r="E9" s="102" t="s">
        <v>1626</v>
      </c>
      <c r="F9" s="102" t="s">
        <v>4047</v>
      </c>
      <c r="G9" s="102" t="s">
        <v>4406</v>
      </c>
      <c r="H9" s="104" t="s">
        <v>871</v>
      </c>
      <c r="I9" s="102" t="s">
        <v>4770</v>
      </c>
      <c r="J9" s="88" t="s">
        <v>3413</v>
      </c>
      <c r="K9" s="88" t="s">
        <v>4144</v>
      </c>
      <c r="L9" s="102" t="s">
        <v>70</v>
      </c>
      <c r="M9" s="112"/>
    </row>
    <row r="10" spans="2:13">
      <c r="B10">
        <v>5</v>
      </c>
      <c r="C10" s="9">
        <v>5</v>
      </c>
      <c r="D10" s="102" t="s">
        <v>1540</v>
      </c>
      <c r="E10" s="102" t="s">
        <v>1541</v>
      </c>
      <c r="F10" s="102" t="s">
        <v>1542</v>
      </c>
      <c r="G10" s="102" t="s">
        <v>1227</v>
      </c>
      <c r="H10" s="104" t="s">
        <v>871</v>
      </c>
      <c r="I10" s="102" t="s">
        <v>4770</v>
      </c>
      <c r="J10" s="88" t="s">
        <v>3413</v>
      </c>
      <c r="K10" s="88" t="s">
        <v>4144</v>
      </c>
      <c r="L10" s="102" t="s">
        <v>70</v>
      </c>
      <c r="M10" s="112"/>
    </row>
    <row r="11" spans="2:13">
      <c r="B11">
        <v>6</v>
      </c>
      <c r="C11" s="9">
        <v>6</v>
      </c>
      <c r="D11" s="102" t="s">
        <v>4151</v>
      </c>
      <c r="E11" s="102" t="s">
        <v>4152</v>
      </c>
      <c r="F11" s="102" t="s">
        <v>2618</v>
      </c>
      <c r="G11" s="102" t="s">
        <v>1348</v>
      </c>
      <c r="H11" s="104" t="s">
        <v>1977</v>
      </c>
      <c r="I11" s="102" t="s">
        <v>4770</v>
      </c>
      <c r="J11" s="88" t="s">
        <v>3413</v>
      </c>
      <c r="K11" s="88" t="s">
        <v>4144</v>
      </c>
      <c r="L11" s="102" t="s">
        <v>4772</v>
      </c>
      <c r="M11" s="112"/>
    </row>
    <row r="12" spans="2:13">
      <c r="B12">
        <v>7</v>
      </c>
      <c r="C12" s="9">
        <v>7</v>
      </c>
      <c r="D12" s="102" t="s">
        <v>4045</v>
      </c>
      <c r="E12" s="102" t="s">
        <v>4046</v>
      </c>
      <c r="F12" s="102" t="s">
        <v>4047</v>
      </c>
      <c r="G12" s="102" t="s">
        <v>3643</v>
      </c>
      <c r="H12" s="104" t="s">
        <v>1977</v>
      </c>
      <c r="I12" s="102" t="s">
        <v>4770</v>
      </c>
      <c r="J12" s="88" t="s">
        <v>3413</v>
      </c>
      <c r="K12" s="88" t="s">
        <v>4144</v>
      </c>
      <c r="L12" s="102" t="s">
        <v>93</v>
      </c>
      <c r="M12" s="112"/>
    </row>
    <row r="13" spans="2:13">
      <c r="B13">
        <v>8</v>
      </c>
      <c r="C13" s="9">
        <v>8</v>
      </c>
      <c r="D13" s="102" t="s">
        <v>3089</v>
      </c>
      <c r="E13" s="102" t="s">
        <v>1736</v>
      </c>
      <c r="F13" s="102" t="s">
        <v>4115</v>
      </c>
      <c r="G13" s="102" t="s">
        <v>1737</v>
      </c>
      <c r="H13" s="104" t="s">
        <v>1977</v>
      </c>
      <c r="I13" s="102" t="s">
        <v>4770</v>
      </c>
      <c r="J13" s="88" t="s">
        <v>3413</v>
      </c>
      <c r="K13" s="88" t="s">
        <v>4144</v>
      </c>
      <c r="L13" s="102" t="s">
        <v>1440</v>
      </c>
      <c r="M13" s="112"/>
    </row>
    <row r="14" spans="2:13">
      <c r="B14">
        <v>9</v>
      </c>
      <c r="C14" s="9">
        <v>9</v>
      </c>
      <c r="D14" s="102" t="s">
        <v>3644</v>
      </c>
      <c r="E14" s="102" t="s">
        <v>1774</v>
      </c>
      <c r="F14" s="102" t="s">
        <v>1539</v>
      </c>
      <c r="G14" s="102"/>
      <c r="H14" s="104" t="s">
        <v>4672</v>
      </c>
      <c r="I14" s="102" t="s">
        <v>4770</v>
      </c>
      <c r="J14" s="88" t="s">
        <v>3413</v>
      </c>
      <c r="K14" s="88" t="s">
        <v>4144</v>
      </c>
      <c r="L14" s="102" t="s">
        <v>970</v>
      </c>
      <c r="M14" s="112"/>
    </row>
    <row r="15" spans="2:13">
      <c r="B15">
        <v>10</v>
      </c>
      <c r="C15" s="9">
        <v>10</v>
      </c>
      <c r="D15" s="102" t="s">
        <v>4151</v>
      </c>
      <c r="E15" s="102" t="s">
        <v>4695</v>
      </c>
      <c r="F15" s="102" t="s">
        <v>4011</v>
      </c>
      <c r="G15" s="102" t="s">
        <v>2079</v>
      </c>
      <c r="H15" s="104" t="s">
        <v>4672</v>
      </c>
      <c r="I15" s="102" t="s">
        <v>4770</v>
      </c>
      <c r="J15" s="88" t="s">
        <v>3413</v>
      </c>
      <c r="K15" s="88" t="s">
        <v>4144</v>
      </c>
      <c r="L15" s="102" t="s">
        <v>1441</v>
      </c>
      <c r="M15" s="112"/>
    </row>
    <row r="16" spans="2:13">
      <c r="B16">
        <v>11</v>
      </c>
      <c r="C16" s="9">
        <v>11</v>
      </c>
      <c r="D16" s="102" t="s">
        <v>359</v>
      </c>
      <c r="E16" s="102" t="s">
        <v>4407</v>
      </c>
      <c r="F16" s="102" t="s">
        <v>4408</v>
      </c>
      <c r="G16" s="102" t="s">
        <v>1227</v>
      </c>
      <c r="H16" s="104" t="s">
        <v>4672</v>
      </c>
      <c r="I16" s="102" t="s">
        <v>4770</v>
      </c>
      <c r="J16" s="88" t="s">
        <v>3413</v>
      </c>
      <c r="K16" s="88" t="s">
        <v>4144</v>
      </c>
      <c r="L16" s="102" t="s">
        <v>2866</v>
      </c>
      <c r="M16" s="112"/>
    </row>
    <row r="17" spans="2:13">
      <c r="B17">
        <v>12</v>
      </c>
      <c r="C17" s="9">
        <v>12</v>
      </c>
      <c r="D17" s="102" t="s">
        <v>359</v>
      </c>
      <c r="E17" s="102" t="s">
        <v>3088</v>
      </c>
      <c r="F17" s="102" t="s">
        <v>1227</v>
      </c>
      <c r="G17" s="102"/>
      <c r="H17" s="104" t="s">
        <v>4672</v>
      </c>
      <c r="I17" s="102" t="s">
        <v>4770</v>
      </c>
      <c r="J17" s="88" t="s">
        <v>3413</v>
      </c>
      <c r="K17" s="88" t="s">
        <v>4144</v>
      </c>
      <c r="L17" s="102" t="s">
        <v>2866</v>
      </c>
      <c r="M17" s="112"/>
    </row>
    <row r="18" spans="2:13" ht="18">
      <c r="C18" s="3985" t="s">
        <v>1335</v>
      </c>
      <c r="D18" s="3985"/>
      <c r="E18" s="3985"/>
      <c r="F18" s="3985"/>
      <c r="G18" s="3985"/>
      <c r="H18" s="3985"/>
      <c r="I18" s="3985"/>
      <c r="J18" s="3985"/>
      <c r="K18" s="3985"/>
      <c r="L18" s="3985"/>
      <c r="M18" s="110"/>
    </row>
    <row r="19" spans="2:13">
      <c r="C19" s="9" t="s">
        <v>589</v>
      </c>
      <c r="D19" s="88" t="s">
        <v>590</v>
      </c>
      <c r="E19" s="88" t="s">
        <v>1883</v>
      </c>
      <c r="F19" s="88" t="s">
        <v>1884</v>
      </c>
      <c r="G19" s="88" t="s">
        <v>1885</v>
      </c>
      <c r="H19" s="101" t="s">
        <v>4768</v>
      </c>
      <c r="I19" s="88" t="s">
        <v>3431</v>
      </c>
      <c r="J19" s="88" t="s">
        <v>3469</v>
      </c>
      <c r="K19" s="88" t="s">
        <v>203</v>
      </c>
      <c r="L19" s="88" t="s">
        <v>4769</v>
      </c>
      <c r="M19" s="111"/>
    </row>
    <row r="20" spans="2:13">
      <c r="B20">
        <f>1+B17</f>
        <v>13</v>
      </c>
      <c r="C20" s="9">
        <f>1+C17</f>
        <v>13</v>
      </c>
      <c r="D20" s="102" t="s">
        <v>4765</v>
      </c>
      <c r="E20" s="102" t="s">
        <v>4024</v>
      </c>
      <c r="F20" s="102" t="s">
        <v>4025</v>
      </c>
      <c r="G20" s="102"/>
      <c r="H20" s="104" t="s">
        <v>871</v>
      </c>
      <c r="I20" s="102" t="s">
        <v>3425</v>
      </c>
      <c r="J20" s="88" t="s">
        <v>3413</v>
      </c>
      <c r="K20" s="88" t="s">
        <v>4690</v>
      </c>
      <c r="L20" s="102" t="s">
        <v>4834</v>
      </c>
      <c r="M20" s="112"/>
    </row>
    <row r="21" spans="2:13">
      <c r="B21">
        <v>14</v>
      </c>
      <c r="C21" s="9">
        <v>14</v>
      </c>
      <c r="D21" s="102" t="s">
        <v>3039</v>
      </c>
      <c r="E21" s="102" t="s">
        <v>3040</v>
      </c>
      <c r="F21" s="102" t="s">
        <v>1289</v>
      </c>
      <c r="G21" s="102"/>
      <c r="H21" s="104" t="s">
        <v>1977</v>
      </c>
      <c r="I21" s="102" t="s">
        <v>4353</v>
      </c>
      <c r="J21" s="88" t="s">
        <v>3413</v>
      </c>
      <c r="K21" s="88" t="s">
        <v>4690</v>
      </c>
      <c r="L21" s="102" t="s">
        <v>4418</v>
      </c>
      <c r="M21" s="112"/>
    </row>
    <row r="22" spans="2:13">
      <c r="B22">
        <v>15</v>
      </c>
      <c r="C22" s="9">
        <v>15</v>
      </c>
      <c r="D22" s="102" t="s">
        <v>4625</v>
      </c>
      <c r="E22" s="102" t="s">
        <v>2333</v>
      </c>
      <c r="F22" s="102" t="s">
        <v>3401</v>
      </c>
      <c r="G22" s="102" t="s">
        <v>1227</v>
      </c>
      <c r="H22" s="104" t="s">
        <v>1977</v>
      </c>
      <c r="I22" s="102" t="s">
        <v>4353</v>
      </c>
      <c r="J22" s="88" t="s">
        <v>3413</v>
      </c>
      <c r="K22" s="88" t="s">
        <v>4690</v>
      </c>
      <c r="L22" s="102" t="s">
        <v>4418</v>
      </c>
      <c r="M22" s="112"/>
    </row>
    <row r="23" spans="2:13">
      <c r="B23">
        <v>16</v>
      </c>
      <c r="C23" s="9">
        <v>16</v>
      </c>
      <c r="D23" s="102" t="s">
        <v>1586</v>
      </c>
      <c r="E23" s="102" t="s">
        <v>714</v>
      </c>
      <c r="F23" s="102" t="s">
        <v>739</v>
      </c>
      <c r="G23" s="102" t="s">
        <v>1587</v>
      </c>
      <c r="H23" s="104" t="s">
        <v>1977</v>
      </c>
      <c r="I23" s="102" t="s">
        <v>4353</v>
      </c>
      <c r="J23" s="88" t="s">
        <v>3413</v>
      </c>
      <c r="K23" s="88" t="s">
        <v>4690</v>
      </c>
      <c r="L23" s="102" t="s">
        <v>4418</v>
      </c>
      <c r="M23" s="112"/>
    </row>
    <row r="24" spans="2:13">
      <c r="B24">
        <v>17</v>
      </c>
      <c r="C24" s="9">
        <v>17</v>
      </c>
      <c r="D24" s="102" t="s">
        <v>1290</v>
      </c>
      <c r="E24" s="102" t="s">
        <v>4881</v>
      </c>
      <c r="F24" s="102" t="s">
        <v>3399</v>
      </c>
      <c r="G24" s="102" t="s">
        <v>3400</v>
      </c>
      <c r="H24" s="104" t="s">
        <v>1977</v>
      </c>
      <c r="I24" s="102" t="s">
        <v>4353</v>
      </c>
      <c r="J24" s="88" t="s">
        <v>3413</v>
      </c>
      <c r="K24" s="88" t="s">
        <v>4690</v>
      </c>
      <c r="L24" s="102" t="s">
        <v>4418</v>
      </c>
      <c r="M24" s="112"/>
    </row>
    <row r="25" spans="2:13">
      <c r="B25">
        <v>18</v>
      </c>
      <c r="C25" s="9">
        <v>18</v>
      </c>
      <c r="D25" s="102" t="s">
        <v>3402</v>
      </c>
      <c r="E25" s="102" t="s">
        <v>3403</v>
      </c>
      <c r="F25" s="102" t="s">
        <v>3503</v>
      </c>
      <c r="G25" s="102"/>
      <c r="H25" s="104" t="s">
        <v>1977</v>
      </c>
      <c r="I25" s="102" t="s">
        <v>4481</v>
      </c>
      <c r="J25" s="88" t="s">
        <v>3413</v>
      </c>
      <c r="K25" s="88" t="s">
        <v>4690</v>
      </c>
      <c r="L25" s="102" t="s">
        <v>60</v>
      </c>
      <c r="M25" s="112"/>
    </row>
    <row r="26" spans="2:13">
      <c r="B26">
        <v>19</v>
      </c>
      <c r="C26" s="9">
        <v>19</v>
      </c>
      <c r="D26" s="102" t="s">
        <v>1336</v>
      </c>
      <c r="E26" s="102" t="s">
        <v>1337</v>
      </c>
      <c r="F26" s="102" t="s">
        <v>1338</v>
      </c>
      <c r="G26" s="102" t="s">
        <v>789</v>
      </c>
      <c r="H26" s="104" t="s">
        <v>1977</v>
      </c>
      <c r="I26" s="102" t="s">
        <v>1442</v>
      </c>
      <c r="J26" s="88" t="s">
        <v>3413</v>
      </c>
      <c r="K26" s="88" t="s">
        <v>4690</v>
      </c>
      <c r="L26" s="102" t="s">
        <v>4574</v>
      </c>
      <c r="M26" s="112"/>
    </row>
    <row r="27" spans="2:13">
      <c r="B27">
        <v>20</v>
      </c>
      <c r="C27" s="9">
        <v>20</v>
      </c>
      <c r="D27" s="102" t="s">
        <v>2236</v>
      </c>
      <c r="E27" s="102" t="s">
        <v>594</v>
      </c>
      <c r="F27" s="102" t="s">
        <v>2237</v>
      </c>
      <c r="G27" s="102" t="s">
        <v>2465</v>
      </c>
      <c r="H27" s="104" t="s">
        <v>1977</v>
      </c>
      <c r="I27" s="102" t="s">
        <v>1442</v>
      </c>
      <c r="J27" s="88" t="s">
        <v>3413</v>
      </c>
      <c r="K27" s="88" t="s">
        <v>4690</v>
      </c>
      <c r="L27" s="102" t="s">
        <v>1754</v>
      </c>
      <c r="M27" s="112"/>
    </row>
    <row r="28" spans="2:13">
      <c r="B28">
        <v>21</v>
      </c>
      <c r="C28" s="9">
        <v>21</v>
      </c>
      <c r="D28" s="102" t="s">
        <v>594</v>
      </c>
      <c r="E28" s="102" t="s">
        <v>595</v>
      </c>
      <c r="F28" s="102" t="s">
        <v>1542</v>
      </c>
      <c r="G28" s="102" t="s">
        <v>41</v>
      </c>
      <c r="H28" s="104" t="s">
        <v>1977</v>
      </c>
      <c r="I28" s="102" t="s">
        <v>1442</v>
      </c>
      <c r="J28" s="88" t="s">
        <v>3413</v>
      </c>
      <c r="K28" s="88" t="s">
        <v>4690</v>
      </c>
      <c r="L28" s="102" t="s">
        <v>1754</v>
      </c>
      <c r="M28" s="112"/>
    </row>
    <row r="29" spans="2:13">
      <c r="B29">
        <v>22</v>
      </c>
      <c r="C29" s="9">
        <v>22</v>
      </c>
      <c r="D29" s="102" t="s">
        <v>2718</v>
      </c>
      <c r="E29" s="102" t="s">
        <v>4407</v>
      </c>
      <c r="F29" s="102" t="s">
        <v>1542</v>
      </c>
      <c r="G29" s="102" t="s">
        <v>4725</v>
      </c>
      <c r="H29" s="104" t="s">
        <v>1977</v>
      </c>
      <c r="I29" s="102" t="s">
        <v>1442</v>
      </c>
      <c r="J29" s="88" t="s">
        <v>3413</v>
      </c>
      <c r="K29" s="88" t="s">
        <v>4690</v>
      </c>
      <c r="L29" s="102" t="s">
        <v>1754</v>
      </c>
      <c r="M29" s="112"/>
    </row>
    <row r="30" spans="2:13">
      <c r="B30">
        <v>23</v>
      </c>
      <c r="C30" s="9">
        <v>23</v>
      </c>
      <c r="D30" s="102" t="s">
        <v>3274</v>
      </c>
      <c r="E30" s="102" t="s">
        <v>3275</v>
      </c>
      <c r="F30" s="102" t="s">
        <v>3276</v>
      </c>
      <c r="G30" s="102" t="s">
        <v>4047</v>
      </c>
      <c r="H30" s="104" t="s">
        <v>1977</v>
      </c>
      <c r="I30" s="102" t="s">
        <v>3612</v>
      </c>
      <c r="J30" s="88" t="s">
        <v>3413</v>
      </c>
      <c r="K30" s="88" t="s">
        <v>4690</v>
      </c>
      <c r="L30" s="102" t="s">
        <v>3046</v>
      </c>
      <c r="M30" s="112"/>
    </row>
    <row r="31" spans="2:13">
      <c r="B31">
        <v>24</v>
      </c>
      <c r="C31" s="9">
        <v>24</v>
      </c>
      <c r="D31" s="102" t="s">
        <v>1738</v>
      </c>
      <c r="E31" s="102" t="s">
        <v>2715</v>
      </c>
      <c r="F31" s="102" t="s">
        <v>2716</v>
      </c>
      <c r="G31" s="102" t="s">
        <v>2717</v>
      </c>
      <c r="H31" s="104" t="s">
        <v>1977</v>
      </c>
      <c r="I31" s="102" t="s">
        <v>3612</v>
      </c>
      <c r="J31" s="88" t="s">
        <v>3413</v>
      </c>
      <c r="K31" s="88" t="s">
        <v>4690</v>
      </c>
      <c r="L31" s="102" t="s">
        <v>3046</v>
      </c>
      <c r="M31" s="112"/>
    </row>
    <row r="32" spans="2:13">
      <c r="B32">
        <v>25</v>
      </c>
      <c r="C32" s="9">
        <v>25</v>
      </c>
      <c r="D32" s="102" t="s">
        <v>4026</v>
      </c>
      <c r="E32" s="102" t="s">
        <v>592</v>
      </c>
      <c r="F32" s="102" t="s">
        <v>593</v>
      </c>
      <c r="G32" s="102"/>
      <c r="H32" s="104" t="s">
        <v>1977</v>
      </c>
      <c r="I32" s="102" t="s">
        <v>1443</v>
      </c>
      <c r="J32" s="88" t="s">
        <v>3413</v>
      </c>
      <c r="K32" s="88" t="s">
        <v>4690</v>
      </c>
      <c r="L32" s="102" t="s">
        <v>3046</v>
      </c>
      <c r="M32" s="112"/>
    </row>
    <row r="33" spans="2:13">
      <c r="B33">
        <v>26</v>
      </c>
      <c r="C33" s="9">
        <v>26</v>
      </c>
      <c r="D33" s="102" t="s">
        <v>2072</v>
      </c>
      <c r="E33" s="102" t="s">
        <v>2112</v>
      </c>
      <c r="F33" s="102" t="s">
        <v>3523</v>
      </c>
      <c r="G33" s="102"/>
      <c r="H33" s="104" t="s">
        <v>1977</v>
      </c>
      <c r="I33" s="102" t="s">
        <v>4480</v>
      </c>
      <c r="J33" s="88" t="s">
        <v>3413</v>
      </c>
      <c r="K33" s="88" t="s">
        <v>4690</v>
      </c>
      <c r="L33" s="102" t="s">
        <v>3046</v>
      </c>
      <c r="M33" s="112"/>
    </row>
    <row r="34" spans="2:13">
      <c r="B34">
        <v>27</v>
      </c>
      <c r="C34" s="9">
        <v>27</v>
      </c>
      <c r="D34" s="102" t="s">
        <v>3426</v>
      </c>
      <c r="E34" s="102" t="s">
        <v>2610</v>
      </c>
      <c r="F34" s="102" t="s">
        <v>1078</v>
      </c>
      <c r="G34" s="102"/>
      <c r="H34" s="104" t="s">
        <v>1977</v>
      </c>
      <c r="I34" s="102" t="s">
        <v>4480</v>
      </c>
      <c r="J34" s="88" t="s">
        <v>3413</v>
      </c>
      <c r="K34" s="88" t="s">
        <v>4690</v>
      </c>
      <c r="L34" s="102" t="s">
        <v>3046</v>
      </c>
      <c r="M34" s="112"/>
    </row>
    <row r="35" spans="2:13">
      <c r="B35">
        <v>28</v>
      </c>
      <c r="C35" s="9">
        <v>28</v>
      </c>
      <c r="D35" s="102" t="s">
        <v>3524</v>
      </c>
      <c r="E35" s="102" t="s">
        <v>2932</v>
      </c>
      <c r="F35" s="102" t="s">
        <v>3560</v>
      </c>
      <c r="G35" s="102" t="s">
        <v>2933</v>
      </c>
      <c r="H35" s="104" t="s">
        <v>1977</v>
      </c>
      <c r="I35" s="102" t="s">
        <v>4480</v>
      </c>
      <c r="J35" s="88" t="s">
        <v>3413</v>
      </c>
      <c r="K35" s="88" t="s">
        <v>4690</v>
      </c>
      <c r="L35" s="102" t="s">
        <v>3046</v>
      </c>
      <c r="M35" s="112"/>
    </row>
    <row r="36" spans="2:13">
      <c r="B36">
        <v>29</v>
      </c>
      <c r="C36" s="9">
        <v>29</v>
      </c>
      <c r="D36" s="102" t="s">
        <v>2616</v>
      </c>
      <c r="E36" s="102" t="s">
        <v>714</v>
      </c>
      <c r="F36" s="102" t="s">
        <v>715</v>
      </c>
      <c r="G36" s="102" t="s">
        <v>716</v>
      </c>
      <c r="H36" s="104" t="s">
        <v>1977</v>
      </c>
      <c r="I36" s="102" t="s">
        <v>4009</v>
      </c>
      <c r="J36" s="88" t="s">
        <v>3413</v>
      </c>
      <c r="K36" s="88" t="s">
        <v>4690</v>
      </c>
      <c r="L36" s="102" t="s">
        <v>3046</v>
      </c>
      <c r="M36" s="112"/>
    </row>
    <row r="37" spans="2:13">
      <c r="B37">
        <v>30</v>
      </c>
      <c r="C37" s="9">
        <v>30</v>
      </c>
      <c r="D37" s="102" t="s">
        <v>4625</v>
      </c>
      <c r="E37" s="102" t="s">
        <v>2333</v>
      </c>
      <c r="F37" s="102" t="s">
        <v>2334</v>
      </c>
      <c r="G37" s="102" t="s">
        <v>881</v>
      </c>
      <c r="H37" s="104" t="s">
        <v>4672</v>
      </c>
      <c r="I37" s="102" t="s">
        <v>4010</v>
      </c>
      <c r="J37" s="88" t="s">
        <v>3413</v>
      </c>
      <c r="K37" s="88" t="s">
        <v>4690</v>
      </c>
      <c r="L37" s="102" t="s">
        <v>4627</v>
      </c>
      <c r="M37" s="112"/>
    </row>
    <row r="38" spans="2:13" ht="18">
      <c r="C38" s="3985" t="s">
        <v>4628</v>
      </c>
      <c r="D38" s="3985"/>
      <c r="E38" s="3985"/>
      <c r="F38" s="3985"/>
      <c r="G38" s="3985"/>
      <c r="H38" s="3985"/>
      <c r="I38" s="3985"/>
      <c r="J38" s="3985"/>
      <c r="K38" s="3985"/>
      <c r="L38" s="3985"/>
      <c r="M38" s="110"/>
    </row>
    <row r="39" spans="2:13">
      <c r="C39" s="9" t="s">
        <v>589</v>
      </c>
      <c r="D39" s="88" t="s">
        <v>590</v>
      </c>
      <c r="E39" s="88" t="s">
        <v>1883</v>
      </c>
      <c r="F39" s="88" t="s">
        <v>1884</v>
      </c>
      <c r="G39" s="88" t="s">
        <v>1885</v>
      </c>
      <c r="H39" s="101" t="s">
        <v>4768</v>
      </c>
      <c r="I39" s="88" t="s">
        <v>3431</v>
      </c>
      <c r="J39" s="88" t="s">
        <v>3469</v>
      </c>
      <c r="K39" s="88" t="s">
        <v>203</v>
      </c>
      <c r="L39" s="88" t="s">
        <v>4769</v>
      </c>
      <c r="M39" s="111"/>
    </row>
    <row r="40" spans="2:13">
      <c r="B40">
        <v>31</v>
      </c>
      <c r="C40" s="9">
        <v>31</v>
      </c>
      <c r="D40" s="102" t="s">
        <v>740</v>
      </c>
      <c r="E40" s="102" t="s">
        <v>741</v>
      </c>
      <c r="F40" s="102" t="s">
        <v>1227</v>
      </c>
      <c r="G40" s="102"/>
      <c r="H40" s="104" t="s">
        <v>4672</v>
      </c>
      <c r="I40" s="103" t="s">
        <v>2710</v>
      </c>
      <c r="J40" s="88" t="s">
        <v>3413</v>
      </c>
      <c r="K40" s="88" t="s">
        <v>4690</v>
      </c>
      <c r="L40" s="103" t="s">
        <v>2709</v>
      </c>
      <c r="M40" s="113"/>
    </row>
    <row r="41" spans="2:13">
      <c r="B41">
        <v>32</v>
      </c>
      <c r="C41" s="9">
        <v>32</v>
      </c>
      <c r="D41" s="102" t="s">
        <v>346</v>
      </c>
      <c r="E41" s="102" t="s">
        <v>347</v>
      </c>
      <c r="F41" s="102" t="s">
        <v>348</v>
      </c>
      <c r="G41" s="102"/>
      <c r="H41" s="104" t="s">
        <v>4672</v>
      </c>
      <c r="I41" s="103" t="s">
        <v>2710</v>
      </c>
      <c r="J41" s="88" t="s">
        <v>3413</v>
      </c>
      <c r="K41" s="88" t="s">
        <v>4690</v>
      </c>
      <c r="L41" s="103" t="s">
        <v>2709</v>
      </c>
      <c r="M41" s="113"/>
    </row>
    <row r="42" spans="2:13">
      <c r="B42">
        <v>33</v>
      </c>
      <c r="C42" s="9">
        <v>33</v>
      </c>
      <c r="D42" s="102" t="s">
        <v>2182</v>
      </c>
      <c r="E42" s="102" t="s">
        <v>1110</v>
      </c>
      <c r="F42" s="102" t="s">
        <v>1111</v>
      </c>
      <c r="G42" s="102" t="s">
        <v>1112</v>
      </c>
      <c r="H42" s="104" t="s">
        <v>4672</v>
      </c>
      <c r="I42" s="103" t="s">
        <v>2710</v>
      </c>
      <c r="J42" s="88" t="s">
        <v>3413</v>
      </c>
      <c r="K42" s="88" t="s">
        <v>4690</v>
      </c>
      <c r="L42" s="103" t="s">
        <v>2709</v>
      </c>
      <c r="M42" s="113"/>
    </row>
    <row r="43" spans="2:13">
      <c r="B43">
        <v>34</v>
      </c>
      <c r="C43" s="9">
        <v>34</v>
      </c>
      <c r="D43" s="102" t="s">
        <v>2862</v>
      </c>
      <c r="E43" s="102" t="s">
        <v>4630</v>
      </c>
      <c r="F43" s="102" t="s">
        <v>1338</v>
      </c>
      <c r="G43" s="102"/>
      <c r="H43" s="104" t="s">
        <v>4672</v>
      </c>
      <c r="I43" s="103" t="s">
        <v>2710</v>
      </c>
      <c r="J43" s="88" t="s">
        <v>3413</v>
      </c>
      <c r="K43" s="88" t="s">
        <v>4690</v>
      </c>
      <c r="L43" s="103" t="s">
        <v>2709</v>
      </c>
      <c r="M43" s="113"/>
    </row>
    <row r="44" spans="2:13">
      <c r="B44">
        <v>35</v>
      </c>
      <c r="C44" s="9">
        <v>35</v>
      </c>
      <c r="D44" s="102" t="s">
        <v>4379</v>
      </c>
      <c r="E44" s="102" t="s">
        <v>196</v>
      </c>
      <c r="F44" s="102" t="s">
        <v>3401</v>
      </c>
      <c r="G44" s="102" t="s">
        <v>197</v>
      </c>
      <c r="H44" s="104" t="s">
        <v>4672</v>
      </c>
      <c r="I44" s="103" t="s">
        <v>2710</v>
      </c>
      <c r="J44" s="88" t="s">
        <v>3413</v>
      </c>
      <c r="K44" s="88" t="s">
        <v>4690</v>
      </c>
      <c r="L44" s="103" t="s">
        <v>2709</v>
      </c>
      <c r="M44" s="113"/>
    </row>
    <row r="45" spans="2:13">
      <c r="B45">
        <v>36</v>
      </c>
      <c r="C45" s="9">
        <v>36</v>
      </c>
      <c r="D45" s="102" t="s">
        <v>4379</v>
      </c>
      <c r="E45" s="102" t="s">
        <v>195</v>
      </c>
      <c r="F45" s="102" t="s">
        <v>3522</v>
      </c>
      <c r="G45" s="102"/>
      <c r="H45" s="104" t="s">
        <v>4672</v>
      </c>
      <c r="I45" s="103" t="s">
        <v>2710</v>
      </c>
      <c r="J45" s="88" t="s">
        <v>3413</v>
      </c>
      <c r="K45" s="88" t="s">
        <v>4690</v>
      </c>
      <c r="L45" s="103" t="s">
        <v>2709</v>
      </c>
      <c r="M45" s="113"/>
    </row>
    <row r="46" spans="2:13">
      <c r="B46">
        <v>37</v>
      </c>
      <c r="C46" s="9">
        <v>37</v>
      </c>
      <c r="D46" s="102" t="s">
        <v>849</v>
      </c>
      <c r="E46" s="102" t="s">
        <v>1823</v>
      </c>
      <c r="F46" s="102" t="s">
        <v>841</v>
      </c>
      <c r="G46" s="102"/>
      <c r="H46" s="104" t="s">
        <v>4672</v>
      </c>
      <c r="I46" s="103" t="s">
        <v>2710</v>
      </c>
      <c r="J46" s="88" t="s">
        <v>3413</v>
      </c>
      <c r="K46" s="88" t="s">
        <v>4690</v>
      </c>
      <c r="L46" s="103" t="s">
        <v>2709</v>
      </c>
      <c r="M46" s="113"/>
    </row>
    <row r="47" spans="2:13">
      <c r="B47">
        <v>38</v>
      </c>
      <c r="C47" s="9">
        <v>38</v>
      </c>
      <c r="D47" s="102" t="s">
        <v>4629</v>
      </c>
      <c r="E47" s="102" t="s">
        <v>4630</v>
      </c>
      <c r="F47" s="102" t="s">
        <v>856</v>
      </c>
      <c r="G47" s="103"/>
      <c r="H47" s="104" t="s">
        <v>4672</v>
      </c>
      <c r="I47" s="103" t="s">
        <v>2710</v>
      </c>
      <c r="J47" s="88" t="s">
        <v>3413</v>
      </c>
      <c r="K47" s="88" t="s">
        <v>4690</v>
      </c>
      <c r="L47" s="103" t="s">
        <v>2709</v>
      </c>
      <c r="M47" s="113"/>
    </row>
    <row r="48" spans="2:13">
      <c r="B48">
        <v>39</v>
      </c>
      <c r="C48" s="9">
        <v>39</v>
      </c>
      <c r="D48" s="102" t="s">
        <v>4407</v>
      </c>
      <c r="E48" s="102" t="s">
        <v>198</v>
      </c>
      <c r="F48" s="102" t="s">
        <v>199</v>
      </c>
      <c r="G48" s="102"/>
      <c r="H48" s="104" t="s">
        <v>4672</v>
      </c>
      <c r="I48" s="103" t="s">
        <v>2710</v>
      </c>
      <c r="J48" s="88" t="s">
        <v>3413</v>
      </c>
      <c r="K48" s="88" t="s">
        <v>4690</v>
      </c>
      <c r="L48" s="103" t="s">
        <v>2709</v>
      </c>
      <c r="M48" s="113"/>
    </row>
    <row r="49" spans="2:13">
      <c r="B49">
        <v>40</v>
      </c>
      <c r="C49" s="9">
        <v>40</v>
      </c>
      <c r="D49" s="102" t="s">
        <v>255</v>
      </c>
      <c r="E49" s="102" t="s">
        <v>256</v>
      </c>
      <c r="F49" s="102" t="s">
        <v>257</v>
      </c>
      <c r="G49" s="102"/>
      <c r="H49" s="104" t="s">
        <v>4672</v>
      </c>
      <c r="I49" s="103" t="s">
        <v>2710</v>
      </c>
      <c r="J49" s="88" t="s">
        <v>3413</v>
      </c>
      <c r="K49" s="88" t="s">
        <v>4690</v>
      </c>
      <c r="L49" s="103" t="s">
        <v>2709</v>
      </c>
      <c r="M49" s="113"/>
    </row>
    <row r="50" spans="2:13">
      <c r="B50">
        <v>41</v>
      </c>
      <c r="C50" s="9">
        <v>41</v>
      </c>
      <c r="D50" s="102" t="s">
        <v>736</v>
      </c>
      <c r="E50" s="102" t="s">
        <v>737</v>
      </c>
      <c r="F50" s="102" t="s">
        <v>738</v>
      </c>
      <c r="G50" s="102" t="s">
        <v>4528</v>
      </c>
      <c r="H50" s="104" t="s">
        <v>4672</v>
      </c>
      <c r="I50" s="103" t="s">
        <v>2710</v>
      </c>
      <c r="J50" s="88" t="s">
        <v>3413</v>
      </c>
      <c r="K50" s="88" t="s">
        <v>4690</v>
      </c>
      <c r="L50" s="103" t="s">
        <v>2709</v>
      </c>
      <c r="M50" s="113"/>
    </row>
    <row r="51" spans="2:13">
      <c r="B51">
        <v>42</v>
      </c>
      <c r="C51" s="9">
        <v>42</v>
      </c>
      <c r="D51" s="102" t="s">
        <v>2863</v>
      </c>
      <c r="E51" s="102" t="s">
        <v>3598</v>
      </c>
      <c r="F51" s="102" t="s">
        <v>2906</v>
      </c>
      <c r="G51" s="102" t="s">
        <v>2907</v>
      </c>
      <c r="H51" s="104" t="s">
        <v>4672</v>
      </c>
      <c r="I51" s="103" t="s">
        <v>2710</v>
      </c>
      <c r="J51" s="88" t="s">
        <v>3413</v>
      </c>
      <c r="K51" s="88" t="s">
        <v>4690</v>
      </c>
      <c r="L51" s="103" t="s">
        <v>2709</v>
      </c>
      <c r="M51" s="113"/>
    </row>
    <row r="52" spans="2:13">
      <c r="B52">
        <v>43</v>
      </c>
      <c r="C52" s="9">
        <v>43</v>
      </c>
      <c r="D52" s="102" t="s">
        <v>4422</v>
      </c>
      <c r="E52" s="102" t="s">
        <v>2974</v>
      </c>
      <c r="F52" s="102" t="s">
        <v>3522</v>
      </c>
      <c r="G52" s="102" t="s">
        <v>2861</v>
      </c>
      <c r="H52" s="104" t="s">
        <v>4672</v>
      </c>
      <c r="I52" s="103" t="s">
        <v>2710</v>
      </c>
      <c r="J52" s="88" t="s">
        <v>3413</v>
      </c>
      <c r="K52" s="88" t="s">
        <v>4690</v>
      </c>
      <c r="L52" s="103" t="s">
        <v>2709</v>
      </c>
      <c r="M52" s="113"/>
    </row>
    <row r="53" spans="2:13">
      <c r="B53">
        <v>44</v>
      </c>
      <c r="C53" s="9">
        <v>44</v>
      </c>
      <c r="D53" s="102" t="s">
        <v>200</v>
      </c>
      <c r="E53" s="102" t="s">
        <v>163</v>
      </c>
      <c r="F53" s="102" t="s">
        <v>1425</v>
      </c>
      <c r="G53" s="102" t="s">
        <v>2941</v>
      </c>
      <c r="H53" s="104" t="s">
        <v>4672</v>
      </c>
      <c r="I53" s="103" t="s">
        <v>2710</v>
      </c>
      <c r="J53" s="88" t="s">
        <v>3413</v>
      </c>
      <c r="K53" s="88" t="s">
        <v>4690</v>
      </c>
      <c r="L53" s="103" t="s">
        <v>2709</v>
      </c>
      <c r="M53" s="113"/>
    </row>
    <row r="54" spans="2:13">
      <c r="B54">
        <v>45</v>
      </c>
      <c r="C54" s="9">
        <v>45</v>
      </c>
      <c r="D54" s="102" t="s">
        <v>258</v>
      </c>
      <c r="E54" s="102" t="s">
        <v>259</v>
      </c>
      <c r="F54" s="102" t="s">
        <v>3653</v>
      </c>
      <c r="G54" s="102" t="s">
        <v>739</v>
      </c>
      <c r="H54" s="104" t="s">
        <v>4672</v>
      </c>
      <c r="I54" s="103" t="s">
        <v>2710</v>
      </c>
      <c r="J54" s="88" t="s">
        <v>3413</v>
      </c>
      <c r="K54" s="88" t="s">
        <v>4690</v>
      </c>
      <c r="L54" s="103" t="s">
        <v>2709</v>
      </c>
      <c r="M54" s="113"/>
    </row>
    <row r="55" spans="2:13">
      <c r="B55">
        <v>46</v>
      </c>
      <c r="C55" s="9">
        <v>46</v>
      </c>
      <c r="D55" s="102" t="s">
        <v>3524</v>
      </c>
      <c r="E55" s="102" t="s">
        <v>2942</v>
      </c>
      <c r="F55" s="102" t="s">
        <v>2943</v>
      </c>
      <c r="G55" s="102"/>
      <c r="H55" s="104" t="s">
        <v>4672</v>
      </c>
      <c r="I55" s="103" t="s">
        <v>2710</v>
      </c>
      <c r="J55" s="88" t="s">
        <v>3413</v>
      </c>
      <c r="K55" s="88" t="s">
        <v>4690</v>
      </c>
      <c r="L55" s="103" t="s">
        <v>2709</v>
      </c>
      <c r="M55" s="113"/>
    </row>
    <row r="56" spans="2:13" ht="5.45" customHeight="1"/>
    <row r="57" spans="2:13" ht="18">
      <c r="C57" s="3985" t="s">
        <v>22</v>
      </c>
      <c r="D57" s="3985"/>
      <c r="E57" s="3985"/>
      <c r="F57" s="3985"/>
      <c r="G57" s="3985"/>
      <c r="H57" s="3985"/>
      <c r="I57" s="3985"/>
      <c r="J57" s="3985"/>
      <c r="K57" s="3985"/>
      <c r="L57" s="3985"/>
      <c r="M57" s="110"/>
    </row>
    <row r="58" spans="2:13">
      <c r="C58" s="9" t="s">
        <v>589</v>
      </c>
      <c r="D58" s="88" t="s">
        <v>590</v>
      </c>
      <c r="E58" s="88" t="s">
        <v>1883</v>
      </c>
      <c r="F58" s="88" t="s">
        <v>1884</v>
      </c>
      <c r="G58" s="88" t="s">
        <v>1885</v>
      </c>
      <c r="H58" s="101" t="s">
        <v>4768</v>
      </c>
      <c r="I58" s="88" t="s">
        <v>3431</v>
      </c>
      <c r="J58" s="88" t="s">
        <v>3469</v>
      </c>
      <c r="K58" s="88" t="s">
        <v>203</v>
      </c>
      <c r="L58" s="88" t="s">
        <v>4769</v>
      </c>
      <c r="M58" s="111"/>
    </row>
    <row r="59" spans="2:13">
      <c r="B59">
        <v>47</v>
      </c>
      <c r="C59" s="9">
        <v>1</v>
      </c>
      <c r="D59" s="102" t="s">
        <v>1807</v>
      </c>
      <c r="E59" s="102" t="s">
        <v>1808</v>
      </c>
      <c r="F59" s="102" t="s">
        <v>2253</v>
      </c>
      <c r="G59" s="102" t="s">
        <v>1295</v>
      </c>
      <c r="H59" s="104" t="s">
        <v>871</v>
      </c>
      <c r="I59" s="103" t="s">
        <v>1296</v>
      </c>
      <c r="J59" s="137" t="s">
        <v>2040</v>
      </c>
      <c r="K59" s="137" t="s">
        <v>4144</v>
      </c>
      <c r="L59" s="103" t="s">
        <v>23</v>
      </c>
      <c r="M59" s="113"/>
    </row>
    <row r="60" spans="2:13">
      <c r="B60">
        <v>48</v>
      </c>
      <c r="C60" s="9">
        <v>2</v>
      </c>
      <c r="D60" s="102" t="s">
        <v>3809</v>
      </c>
      <c r="E60" s="102" t="s">
        <v>3588</v>
      </c>
      <c r="F60" s="102" t="s">
        <v>24</v>
      </c>
      <c r="G60" s="102"/>
      <c r="H60" s="104" t="s">
        <v>871</v>
      </c>
      <c r="I60" s="103" t="s">
        <v>3589</v>
      </c>
      <c r="J60" s="137" t="s">
        <v>2040</v>
      </c>
      <c r="K60" s="137" t="s">
        <v>4144</v>
      </c>
      <c r="L60" s="103" t="s">
        <v>3808</v>
      </c>
      <c r="M60" s="113"/>
    </row>
    <row r="61" spans="2:13">
      <c r="B61">
        <v>49</v>
      </c>
      <c r="C61" s="9">
        <v>3</v>
      </c>
      <c r="D61" s="102" t="s">
        <v>5025</v>
      </c>
      <c r="E61" s="102" t="s">
        <v>4982</v>
      </c>
      <c r="F61" s="102" t="s">
        <v>4983</v>
      </c>
      <c r="G61" s="102" t="s">
        <v>4984</v>
      </c>
      <c r="H61" s="104" t="s">
        <v>4672</v>
      </c>
      <c r="I61" s="103" t="s">
        <v>4010</v>
      </c>
      <c r="J61" s="137" t="s">
        <v>2040</v>
      </c>
      <c r="K61" s="137" t="s">
        <v>4690</v>
      </c>
      <c r="L61" s="103" t="s">
        <v>4985</v>
      </c>
      <c r="M61" s="113"/>
    </row>
    <row r="62" spans="2:13">
      <c r="B62">
        <v>50</v>
      </c>
      <c r="C62" s="9">
        <v>4</v>
      </c>
      <c r="D62" s="102" t="s">
        <v>1264</v>
      </c>
      <c r="E62" s="102" t="s">
        <v>1265</v>
      </c>
      <c r="F62" s="102" t="s">
        <v>4115</v>
      </c>
      <c r="G62" s="102" t="s">
        <v>1829</v>
      </c>
      <c r="H62" s="104" t="s">
        <v>4672</v>
      </c>
      <c r="I62" s="103" t="s">
        <v>4010</v>
      </c>
      <c r="J62" s="137" t="s">
        <v>4143</v>
      </c>
      <c r="K62" s="137" t="s">
        <v>4690</v>
      </c>
      <c r="L62" s="103" t="s">
        <v>4985</v>
      </c>
      <c r="M62" s="113"/>
    </row>
    <row r="63" spans="2:13">
      <c r="B63">
        <v>51</v>
      </c>
      <c r="C63" s="9">
        <v>5</v>
      </c>
      <c r="D63" s="102" t="s">
        <v>3423</v>
      </c>
      <c r="E63" s="102" t="s">
        <v>234</v>
      </c>
      <c r="F63" s="102" t="s">
        <v>3424</v>
      </c>
      <c r="G63" s="102"/>
      <c r="H63" s="104" t="s">
        <v>4672</v>
      </c>
      <c r="I63" s="103" t="s">
        <v>4010</v>
      </c>
      <c r="J63" s="137" t="s">
        <v>4143</v>
      </c>
      <c r="K63" s="137" t="s">
        <v>4690</v>
      </c>
      <c r="L63" s="103" t="s">
        <v>4985</v>
      </c>
      <c r="M63" s="113"/>
    </row>
    <row r="64" spans="2:13">
      <c r="B64">
        <v>52</v>
      </c>
      <c r="C64" s="9">
        <v>6</v>
      </c>
      <c r="D64" s="102" t="s">
        <v>42</v>
      </c>
      <c r="E64" s="102" t="s">
        <v>1820</v>
      </c>
      <c r="F64" s="102" t="s">
        <v>1821</v>
      </c>
      <c r="G64" s="102" t="s">
        <v>1822</v>
      </c>
      <c r="H64" s="104" t="s">
        <v>4672</v>
      </c>
      <c r="I64" s="103" t="s">
        <v>3505</v>
      </c>
      <c r="J64" s="137" t="s">
        <v>4143</v>
      </c>
      <c r="K64" s="137" t="s">
        <v>4690</v>
      </c>
      <c r="L64" s="103" t="s">
        <v>578</v>
      </c>
      <c r="M64" s="113"/>
    </row>
    <row r="65" spans="2:13">
      <c r="B65">
        <v>53</v>
      </c>
      <c r="C65" s="9">
        <v>7</v>
      </c>
      <c r="D65" s="102" t="s">
        <v>1086</v>
      </c>
      <c r="E65" s="102" t="s">
        <v>3427</v>
      </c>
      <c r="F65" s="102" t="s">
        <v>739</v>
      </c>
      <c r="G65" s="102"/>
      <c r="H65" s="104" t="s">
        <v>4672</v>
      </c>
      <c r="I65" s="103" t="s">
        <v>3505</v>
      </c>
      <c r="J65" s="137" t="s">
        <v>4143</v>
      </c>
      <c r="K65" s="137" t="s">
        <v>4690</v>
      </c>
      <c r="L65" s="103" t="s">
        <v>544</v>
      </c>
      <c r="M65" s="113"/>
    </row>
    <row r="66" spans="2:13">
      <c r="B66">
        <v>54</v>
      </c>
      <c r="C66" s="9">
        <v>8</v>
      </c>
      <c r="D66" s="102" t="s">
        <v>1825</v>
      </c>
      <c r="E66" s="102" t="s">
        <v>1827</v>
      </c>
      <c r="F66" s="102" t="s">
        <v>3401</v>
      </c>
      <c r="G66" s="102" t="s">
        <v>1828</v>
      </c>
      <c r="H66" s="104" t="s">
        <v>4672</v>
      </c>
      <c r="I66" s="103" t="s">
        <v>3505</v>
      </c>
      <c r="J66" s="137" t="s">
        <v>4143</v>
      </c>
      <c r="K66" s="137" t="s">
        <v>4690</v>
      </c>
      <c r="L66" s="103" t="s">
        <v>1826</v>
      </c>
      <c r="M66" s="113"/>
    </row>
    <row r="67" spans="2:13">
      <c r="B67">
        <v>55</v>
      </c>
      <c r="C67" s="9">
        <v>9</v>
      </c>
      <c r="D67" s="102" t="s">
        <v>2610</v>
      </c>
      <c r="E67" s="102" t="s">
        <v>579</v>
      </c>
      <c r="F67" s="102" t="s">
        <v>1988</v>
      </c>
      <c r="G67" s="102" t="s">
        <v>1830</v>
      </c>
      <c r="H67" s="104"/>
      <c r="I67" s="103" t="s">
        <v>4306</v>
      </c>
      <c r="J67" s="137" t="s">
        <v>2041</v>
      </c>
      <c r="K67" s="137" t="s">
        <v>4690</v>
      </c>
      <c r="L67" s="103" t="s">
        <v>980</v>
      </c>
      <c r="M67" s="113"/>
    </row>
    <row r="68" spans="2:13">
      <c r="B68">
        <v>56</v>
      </c>
      <c r="C68" s="9">
        <v>10</v>
      </c>
      <c r="D68" s="102" t="s">
        <v>3426</v>
      </c>
      <c r="E68" s="102" t="s">
        <v>2161</v>
      </c>
      <c r="F68" s="102" t="s">
        <v>3401</v>
      </c>
      <c r="G68" s="102" t="s">
        <v>1821</v>
      </c>
      <c r="H68" s="104" t="s">
        <v>1977</v>
      </c>
      <c r="I68" s="102" t="s">
        <v>2466</v>
      </c>
      <c r="J68" s="137" t="s">
        <v>2040</v>
      </c>
      <c r="K68" s="137" t="s">
        <v>4691</v>
      </c>
      <c r="L68" s="102" t="s">
        <v>3947</v>
      </c>
      <c r="M68" s="112"/>
    </row>
    <row r="69" spans="2:13">
      <c r="B69">
        <v>57</v>
      </c>
      <c r="C69" s="9">
        <v>11</v>
      </c>
      <c r="D69" s="102" t="s">
        <v>2610</v>
      </c>
      <c r="E69" s="102" t="s">
        <v>2317</v>
      </c>
      <c r="F69" s="102" t="s">
        <v>3437</v>
      </c>
      <c r="G69" s="102"/>
      <c r="H69" s="104" t="s">
        <v>1977</v>
      </c>
      <c r="I69" s="102" t="s">
        <v>1442</v>
      </c>
      <c r="J69" s="137" t="s">
        <v>4143</v>
      </c>
      <c r="K69" s="137" t="s">
        <v>4690</v>
      </c>
      <c r="L69" s="102" t="s">
        <v>1754</v>
      </c>
      <c r="M69" s="112"/>
    </row>
    <row r="70" spans="2:13">
      <c r="B70">
        <v>58</v>
      </c>
      <c r="C70" s="9">
        <v>12</v>
      </c>
      <c r="D70" s="102" t="s">
        <v>1266</v>
      </c>
      <c r="E70" s="102" t="s">
        <v>235</v>
      </c>
      <c r="F70" s="102" t="s">
        <v>2166</v>
      </c>
      <c r="G70" s="102" t="s">
        <v>4713</v>
      </c>
      <c r="H70" s="104" t="s">
        <v>1977</v>
      </c>
      <c r="I70" s="103" t="s">
        <v>3428</v>
      </c>
      <c r="J70" s="137" t="s">
        <v>2040</v>
      </c>
      <c r="K70" s="137" t="s">
        <v>4691</v>
      </c>
      <c r="L70" s="103" t="s">
        <v>757</v>
      </c>
      <c r="M70" s="113"/>
    </row>
    <row r="71" spans="2:13">
      <c r="B71">
        <v>59</v>
      </c>
      <c r="C71" s="9">
        <v>13</v>
      </c>
      <c r="D71" s="102" t="s">
        <v>1266</v>
      </c>
      <c r="E71" s="102" t="s">
        <v>2167</v>
      </c>
      <c r="F71" s="102" t="s">
        <v>1542</v>
      </c>
      <c r="G71" s="102" t="s">
        <v>2166</v>
      </c>
      <c r="H71" s="104" t="s">
        <v>1977</v>
      </c>
      <c r="I71" s="103" t="s">
        <v>3428</v>
      </c>
      <c r="J71" s="137" t="s">
        <v>2040</v>
      </c>
      <c r="K71" s="137" t="s">
        <v>4691</v>
      </c>
      <c r="L71" s="103" t="s">
        <v>757</v>
      </c>
      <c r="M71" s="113"/>
    </row>
    <row r="72" spans="2:13">
      <c r="B72">
        <v>60</v>
      </c>
      <c r="C72" s="9">
        <v>14</v>
      </c>
      <c r="D72" s="102" t="s">
        <v>3563</v>
      </c>
      <c r="E72" s="102" t="s">
        <v>233</v>
      </c>
      <c r="F72" s="102" t="s">
        <v>4047</v>
      </c>
      <c r="G72" s="102" t="s">
        <v>4714</v>
      </c>
      <c r="H72" s="104" t="s">
        <v>1977</v>
      </c>
      <c r="I72" s="103" t="s">
        <v>2498</v>
      </c>
      <c r="J72" s="137" t="s">
        <v>2040</v>
      </c>
      <c r="K72" s="137" t="s">
        <v>4691</v>
      </c>
      <c r="L72" s="103" t="s">
        <v>1178</v>
      </c>
      <c r="M72" s="113"/>
    </row>
    <row r="73" spans="2:13">
      <c r="B73">
        <v>61</v>
      </c>
      <c r="C73" s="9">
        <v>15</v>
      </c>
      <c r="D73" s="102" t="s">
        <v>3564</v>
      </c>
      <c r="E73" s="102" t="s">
        <v>3565</v>
      </c>
      <c r="F73" s="102" t="s">
        <v>3560</v>
      </c>
      <c r="G73" s="102" t="s">
        <v>2446</v>
      </c>
      <c r="H73" s="104" t="s">
        <v>1977</v>
      </c>
      <c r="I73" s="103" t="s">
        <v>3429</v>
      </c>
      <c r="J73" s="137" t="s">
        <v>2040</v>
      </c>
      <c r="K73" s="137" t="s">
        <v>4690</v>
      </c>
      <c r="L73" s="103" t="s">
        <v>2111</v>
      </c>
      <c r="M73" s="113"/>
    </row>
    <row r="74" spans="2:13">
      <c r="B74">
        <v>62</v>
      </c>
      <c r="C74" s="9">
        <v>16</v>
      </c>
      <c r="D74" s="102" t="s">
        <v>2948</v>
      </c>
      <c r="E74" s="102" t="s">
        <v>714</v>
      </c>
      <c r="F74" s="102" t="s">
        <v>2717</v>
      </c>
      <c r="G74" s="102" t="s">
        <v>3643</v>
      </c>
      <c r="H74" s="104" t="s">
        <v>1977</v>
      </c>
      <c r="I74" s="103" t="s">
        <v>3429</v>
      </c>
      <c r="J74" s="137" t="s">
        <v>2040</v>
      </c>
      <c r="K74" s="137" t="s">
        <v>4691</v>
      </c>
      <c r="L74" s="103" t="s">
        <v>2111</v>
      </c>
      <c r="M74" s="113"/>
    </row>
    <row r="75" spans="2:13">
      <c r="B75">
        <v>63</v>
      </c>
      <c r="C75" s="9">
        <v>17</v>
      </c>
      <c r="D75" s="102" t="s">
        <v>1336</v>
      </c>
      <c r="E75" s="102" t="s">
        <v>2713</v>
      </c>
      <c r="F75" s="102" t="s">
        <v>3173</v>
      </c>
      <c r="G75" s="102"/>
      <c r="H75" s="104" t="s">
        <v>4672</v>
      </c>
      <c r="I75" s="103" t="s">
        <v>2710</v>
      </c>
      <c r="J75" s="137" t="s">
        <v>2040</v>
      </c>
      <c r="K75" s="137" t="s">
        <v>4690</v>
      </c>
      <c r="L75" s="103" t="s">
        <v>2709</v>
      </c>
      <c r="M75" s="113"/>
    </row>
    <row r="76" spans="2:13">
      <c r="B76">
        <v>64</v>
      </c>
      <c r="C76" s="9">
        <v>18</v>
      </c>
      <c r="D76" s="102" t="s">
        <v>3174</v>
      </c>
      <c r="E76" s="102" t="s">
        <v>1405</v>
      </c>
      <c r="F76" s="102" t="s">
        <v>3855</v>
      </c>
      <c r="G76" s="102"/>
      <c r="H76" s="104" t="s">
        <v>4672</v>
      </c>
      <c r="I76" s="103" t="s">
        <v>2710</v>
      </c>
      <c r="J76" s="137" t="s">
        <v>2040</v>
      </c>
      <c r="K76" s="137" t="s">
        <v>4690</v>
      </c>
      <c r="L76" s="103" t="s">
        <v>2709</v>
      </c>
      <c r="M76" s="113"/>
    </row>
    <row r="77" spans="2:13">
      <c r="B77">
        <v>65</v>
      </c>
      <c r="C77" s="9">
        <v>19</v>
      </c>
      <c r="D77" s="102" t="s">
        <v>1731</v>
      </c>
      <c r="E77" s="102" t="s">
        <v>2760</v>
      </c>
      <c r="F77" s="102" t="s">
        <v>739</v>
      </c>
      <c r="G77" s="102" t="s">
        <v>2532</v>
      </c>
      <c r="H77" s="104" t="s">
        <v>4672</v>
      </c>
      <c r="I77" s="103" t="s">
        <v>2710</v>
      </c>
      <c r="J77" s="137" t="s">
        <v>4143</v>
      </c>
      <c r="K77" s="137" t="s">
        <v>4690</v>
      </c>
      <c r="L77" s="103" t="s">
        <v>2709</v>
      </c>
      <c r="M77" s="113"/>
    </row>
    <row r="78" spans="2:13">
      <c r="B78">
        <v>66</v>
      </c>
      <c r="C78" s="9">
        <v>20</v>
      </c>
      <c r="D78" s="102" t="s">
        <v>2104</v>
      </c>
      <c r="E78" s="102" t="s">
        <v>2105</v>
      </c>
      <c r="F78" s="102" t="s">
        <v>1542</v>
      </c>
      <c r="G78" s="102" t="s">
        <v>3473</v>
      </c>
      <c r="H78" s="104" t="s">
        <v>4672</v>
      </c>
      <c r="I78" s="103" t="s">
        <v>2710</v>
      </c>
      <c r="J78" s="137" t="s">
        <v>2040</v>
      </c>
      <c r="K78" s="137" t="s">
        <v>4690</v>
      </c>
      <c r="L78" s="103" t="s">
        <v>2709</v>
      </c>
      <c r="M78" s="113"/>
    </row>
    <row r="79" spans="2:13">
      <c r="B79">
        <v>67</v>
      </c>
      <c r="C79" s="9">
        <v>21</v>
      </c>
      <c r="D79" s="102" t="s">
        <v>3475</v>
      </c>
      <c r="E79" s="102" t="s">
        <v>3474</v>
      </c>
      <c r="F79" s="102" t="s">
        <v>4115</v>
      </c>
      <c r="G79" s="102"/>
      <c r="H79" s="104" t="s">
        <v>4672</v>
      </c>
      <c r="I79" s="103" t="s">
        <v>2710</v>
      </c>
      <c r="J79" s="137" t="s">
        <v>4143</v>
      </c>
      <c r="K79" s="137" t="s">
        <v>4690</v>
      </c>
      <c r="L79" s="103" t="s">
        <v>2709</v>
      </c>
      <c r="M79" s="113"/>
    </row>
    <row r="80" spans="2:13">
      <c r="B80">
        <v>68</v>
      </c>
      <c r="C80" s="9">
        <v>22</v>
      </c>
      <c r="D80" s="102" t="s">
        <v>741</v>
      </c>
      <c r="E80" s="102" t="s">
        <v>346</v>
      </c>
      <c r="F80" s="102" t="s">
        <v>2591</v>
      </c>
      <c r="G80" s="102"/>
      <c r="H80" s="104" t="s">
        <v>4672</v>
      </c>
      <c r="I80" s="103" t="s">
        <v>2710</v>
      </c>
      <c r="J80" s="137" t="s">
        <v>4143</v>
      </c>
      <c r="K80" s="137" t="s">
        <v>4690</v>
      </c>
      <c r="L80" s="103" t="s">
        <v>2709</v>
      </c>
      <c r="M80" s="113"/>
    </row>
    <row r="81" spans="2:13">
      <c r="B81">
        <v>69</v>
      </c>
      <c r="C81" s="9">
        <v>23</v>
      </c>
      <c r="D81" s="102" t="s">
        <v>2592</v>
      </c>
      <c r="E81" s="102" t="s">
        <v>3902</v>
      </c>
      <c r="F81" s="102" t="s">
        <v>3903</v>
      </c>
      <c r="G81" s="102"/>
      <c r="H81" s="104" t="s">
        <v>4672</v>
      </c>
      <c r="I81" s="103" t="s">
        <v>2710</v>
      </c>
      <c r="J81" s="137" t="s">
        <v>4143</v>
      </c>
      <c r="K81" s="137" t="s">
        <v>4690</v>
      </c>
      <c r="L81" s="103" t="s">
        <v>2709</v>
      </c>
      <c r="M81" s="113"/>
    </row>
    <row r="82" spans="2:13">
      <c r="B82">
        <v>70</v>
      </c>
      <c r="C82" s="9">
        <v>24</v>
      </c>
      <c r="D82" s="102" t="s">
        <v>3904</v>
      </c>
      <c r="E82" s="102" t="s">
        <v>741</v>
      </c>
      <c r="F82" s="102" t="s">
        <v>3905</v>
      </c>
      <c r="G82" s="102"/>
      <c r="H82" s="104" t="s">
        <v>4672</v>
      </c>
      <c r="I82" s="103" t="s">
        <v>2710</v>
      </c>
      <c r="J82" s="137" t="s">
        <v>4143</v>
      </c>
      <c r="K82" s="137" t="s">
        <v>4690</v>
      </c>
      <c r="L82" s="103" t="s">
        <v>2709</v>
      </c>
      <c r="M82" s="113"/>
    </row>
    <row r="83" spans="2:13">
      <c r="B83">
        <v>71</v>
      </c>
      <c r="C83" s="9">
        <v>25</v>
      </c>
      <c r="D83" s="102" t="s">
        <v>3906</v>
      </c>
      <c r="E83" s="102" t="s">
        <v>4609</v>
      </c>
      <c r="F83" s="102" t="s">
        <v>2943</v>
      </c>
      <c r="G83" s="102" t="s">
        <v>41</v>
      </c>
      <c r="H83" s="104" t="s">
        <v>4672</v>
      </c>
      <c r="I83" s="103" t="s">
        <v>2710</v>
      </c>
      <c r="J83" s="137" t="s">
        <v>4143</v>
      </c>
      <c r="K83" s="137" t="s">
        <v>4690</v>
      </c>
      <c r="L83" s="103" t="s">
        <v>2709</v>
      </c>
      <c r="M83" s="113"/>
    </row>
  </sheetData>
  <mergeCells count="5">
    <mergeCell ref="C57:L57"/>
    <mergeCell ref="C2:L2"/>
    <mergeCell ref="C4:L4"/>
    <mergeCell ref="C18:L18"/>
    <mergeCell ref="C38:L38"/>
  </mergeCells>
  <phoneticPr fontId="0" type="noConversion"/>
  <printOptions horizontalCentered="1"/>
  <pageMargins left="0.75" right="0.75" top="0.19685039370078741" bottom="1" header="0" footer="0"/>
  <pageSetup scale="53" orientation="portrait" horizontalDpi="300" verticalDpi="300" r:id="rId1"/>
  <headerFooter alignWithMargins="0"/>
</worksheet>
</file>

<file path=xl/worksheets/sheet25.xml><?xml version="1.0" encoding="utf-8"?>
<worksheet xmlns="http://schemas.openxmlformats.org/spreadsheetml/2006/main" xmlns:r="http://schemas.openxmlformats.org/officeDocument/2006/relationships">
  <sheetPr codeName="Hoja2"/>
  <dimension ref="A1:N40"/>
  <sheetViews>
    <sheetView workbookViewId="0"/>
  </sheetViews>
  <sheetFormatPr baseColWidth="10" defaultRowHeight="12.75"/>
  <cols>
    <col min="1" max="1" width="4.5703125" bestFit="1" customWidth="1"/>
    <col min="2" max="2" width="12.42578125" style="8" bestFit="1" customWidth="1"/>
    <col min="3" max="3" width="9.7109375" style="1971" bestFit="1" customWidth="1"/>
    <col min="4" max="4" width="15" bestFit="1" customWidth="1"/>
    <col min="5" max="5" width="18" bestFit="1" customWidth="1"/>
    <col min="6" max="6" width="18.28515625" style="8" bestFit="1" customWidth="1"/>
    <col min="7" max="7" width="10.140625" style="8" customWidth="1"/>
    <col min="8" max="8" width="8.28515625" customWidth="1"/>
    <col min="9" max="9" width="13.28515625" style="8" bestFit="1" customWidth="1"/>
    <col min="10" max="10" width="16.5703125" bestFit="1" customWidth="1"/>
    <col min="11" max="11" width="13.42578125" bestFit="1" customWidth="1"/>
    <col min="12" max="12" width="10.7109375" bestFit="1" customWidth="1"/>
    <col min="13" max="13" width="14.85546875" style="8" customWidth="1"/>
    <col min="14" max="14" width="14.85546875" customWidth="1"/>
  </cols>
  <sheetData>
    <row r="1" spans="1:14" ht="51">
      <c r="A1" s="911" t="s">
        <v>1098</v>
      </c>
      <c r="B1" s="2201" t="s">
        <v>4056</v>
      </c>
      <c r="C1" s="2202" t="s">
        <v>3819</v>
      </c>
      <c r="D1" s="2203" t="s">
        <v>2723</v>
      </c>
      <c r="E1" s="2203" t="s">
        <v>3820</v>
      </c>
      <c r="F1" s="911" t="s">
        <v>4769</v>
      </c>
      <c r="G1" s="2201" t="s">
        <v>3822</v>
      </c>
      <c r="H1" s="2201" t="s">
        <v>938</v>
      </c>
      <c r="I1" s="2201" t="s">
        <v>3821</v>
      </c>
      <c r="J1" s="2201" t="s">
        <v>2507</v>
      </c>
      <c r="K1" s="2201" t="s">
        <v>1866</v>
      </c>
      <c r="L1" s="2201" t="s">
        <v>710</v>
      </c>
      <c r="M1" s="2201" t="s">
        <v>4055</v>
      </c>
      <c r="N1" s="2201" t="s">
        <v>851</v>
      </c>
    </row>
    <row r="2" spans="1:14" ht="16.899999999999999" customHeight="1">
      <c r="A2">
        <v>1</v>
      </c>
      <c r="B2" s="66">
        <v>42005</v>
      </c>
      <c r="C2" s="74" t="s">
        <v>1561</v>
      </c>
      <c r="D2" t="s">
        <v>2247</v>
      </c>
      <c r="E2" t="s">
        <v>2248</v>
      </c>
      <c r="F2" s="8" t="s">
        <v>2249</v>
      </c>
      <c r="G2" s="1792">
        <v>38.5</v>
      </c>
      <c r="H2" s="1792"/>
      <c r="I2" s="73" t="s">
        <v>3818</v>
      </c>
      <c r="J2" s="8" t="s">
        <v>3445</v>
      </c>
      <c r="K2" s="8" t="s">
        <v>3452</v>
      </c>
      <c r="L2" s="8" t="s">
        <v>3452</v>
      </c>
      <c r="M2" s="66">
        <v>40577</v>
      </c>
      <c r="N2" s="66">
        <v>42004</v>
      </c>
    </row>
    <row r="3" spans="1:14" ht="16.899999999999999" customHeight="1">
      <c r="A3">
        <v>2</v>
      </c>
      <c r="B3" s="66">
        <v>42005</v>
      </c>
      <c r="C3" s="74" t="s">
        <v>1838</v>
      </c>
      <c r="D3" t="s">
        <v>3823</v>
      </c>
      <c r="E3" t="s">
        <v>3503</v>
      </c>
      <c r="F3" s="8" t="s">
        <v>60</v>
      </c>
      <c r="G3" s="1792">
        <v>35</v>
      </c>
      <c r="H3" s="1792">
        <v>5</v>
      </c>
      <c r="I3" s="73" t="s">
        <v>3824</v>
      </c>
      <c r="J3" s="8" t="s">
        <v>3446</v>
      </c>
      <c r="K3" s="8" t="s">
        <v>4057</v>
      </c>
      <c r="L3" s="66">
        <v>34243</v>
      </c>
      <c r="M3" s="66">
        <v>38961</v>
      </c>
      <c r="N3" s="66">
        <v>42004</v>
      </c>
    </row>
    <row r="4" spans="1:14" ht="16.899999999999999" customHeight="1">
      <c r="A4">
        <v>3</v>
      </c>
      <c r="B4" s="66">
        <v>42005</v>
      </c>
      <c r="C4" s="74" t="s">
        <v>3648</v>
      </c>
      <c r="D4" t="s">
        <v>2321</v>
      </c>
      <c r="E4" t="s">
        <v>939</v>
      </c>
      <c r="F4" s="8" t="s">
        <v>757</v>
      </c>
      <c r="G4" s="1792">
        <v>38.5</v>
      </c>
      <c r="H4" s="1792"/>
      <c r="I4" s="73" t="s">
        <v>3818</v>
      </c>
      <c r="J4" s="8" t="s">
        <v>3447</v>
      </c>
      <c r="K4" s="8" t="s">
        <v>3452</v>
      </c>
      <c r="L4" s="8" t="s">
        <v>3452</v>
      </c>
      <c r="M4" s="66">
        <v>39163</v>
      </c>
      <c r="N4" s="66">
        <v>42004</v>
      </c>
    </row>
    <row r="5" spans="1:14" ht="16.899999999999999" customHeight="1">
      <c r="A5">
        <v>4</v>
      </c>
      <c r="B5" s="66">
        <v>42005</v>
      </c>
      <c r="C5" s="74" t="s">
        <v>3546</v>
      </c>
      <c r="D5" t="s">
        <v>940</v>
      </c>
      <c r="E5" t="s">
        <v>941</v>
      </c>
      <c r="F5" s="8" t="s">
        <v>698</v>
      </c>
      <c r="G5" s="1792">
        <v>38.5</v>
      </c>
      <c r="H5" s="1792"/>
      <c r="I5" s="73" t="s">
        <v>3824</v>
      </c>
      <c r="J5" s="8" t="s">
        <v>3448</v>
      </c>
      <c r="K5" s="8" t="s">
        <v>4058</v>
      </c>
      <c r="L5" s="66">
        <v>38366</v>
      </c>
      <c r="M5" s="66">
        <v>38365</v>
      </c>
      <c r="N5" s="66">
        <v>42004</v>
      </c>
    </row>
    <row r="6" spans="1:14" ht="16.899999999999999" customHeight="1">
      <c r="A6">
        <v>5</v>
      </c>
      <c r="B6" s="66">
        <v>42005</v>
      </c>
      <c r="C6" s="74" t="s">
        <v>431</v>
      </c>
      <c r="D6" t="s">
        <v>942</v>
      </c>
      <c r="E6" t="s">
        <v>943</v>
      </c>
      <c r="F6" s="8" t="s">
        <v>3490</v>
      </c>
      <c r="G6" s="1792">
        <v>33.799999999999997</v>
      </c>
      <c r="H6" s="1792"/>
      <c r="I6" s="73" t="s">
        <v>3818</v>
      </c>
      <c r="J6" s="8" t="s">
        <v>3449</v>
      </c>
      <c r="K6" s="8" t="s">
        <v>3452</v>
      </c>
      <c r="L6" s="8" t="s">
        <v>3452</v>
      </c>
      <c r="M6" s="66">
        <v>40395</v>
      </c>
      <c r="N6" s="66">
        <v>42004</v>
      </c>
    </row>
    <row r="7" spans="1:14" ht="16.899999999999999" customHeight="1">
      <c r="A7">
        <v>6</v>
      </c>
      <c r="B7" s="66">
        <v>42005</v>
      </c>
      <c r="C7" s="74" t="s">
        <v>2235</v>
      </c>
      <c r="D7" t="s">
        <v>944</v>
      </c>
      <c r="E7" t="s">
        <v>945</v>
      </c>
      <c r="F7" s="8" t="s">
        <v>1754</v>
      </c>
      <c r="G7" s="1792">
        <v>26</v>
      </c>
      <c r="H7" s="1792"/>
      <c r="I7" s="73" t="s">
        <v>3818</v>
      </c>
      <c r="J7" s="8" t="s">
        <v>3450</v>
      </c>
      <c r="K7" s="8" t="s">
        <v>3452</v>
      </c>
      <c r="L7" s="8" t="s">
        <v>3452</v>
      </c>
      <c r="M7" s="66">
        <v>41277</v>
      </c>
      <c r="N7" s="66">
        <v>42004</v>
      </c>
    </row>
    <row r="8" spans="1:14" ht="16.899999999999999" customHeight="1">
      <c r="A8">
        <v>7</v>
      </c>
      <c r="B8" s="66">
        <v>42005</v>
      </c>
      <c r="C8" s="74" t="s">
        <v>4417</v>
      </c>
      <c r="D8" t="s">
        <v>389</v>
      </c>
      <c r="E8" t="s">
        <v>390</v>
      </c>
      <c r="F8" s="8" t="s">
        <v>3490</v>
      </c>
      <c r="G8" s="1792">
        <v>33.799999999999997</v>
      </c>
      <c r="H8" s="1792"/>
      <c r="I8" s="73" t="s">
        <v>3824</v>
      </c>
      <c r="J8" s="8" t="s">
        <v>3451</v>
      </c>
      <c r="K8" s="8" t="s">
        <v>4059</v>
      </c>
      <c r="L8" s="66">
        <v>35031</v>
      </c>
      <c r="M8" s="66">
        <v>38869</v>
      </c>
      <c r="N8" s="66">
        <v>42004</v>
      </c>
    </row>
    <row r="9" spans="1:14" ht="16.899999999999999" customHeight="1">
      <c r="A9">
        <v>8</v>
      </c>
      <c r="B9" s="66">
        <v>42005</v>
      </c>
      <c r="C9" s="74" t="s">
        <v>436</v>
      </c>
      <c r="D9" s="2199" t="s">
        <v>437</v>
      </c>
      <c r="E9" t="s">
        <v>1609</v>
      </c>
      <c r="F9" s="8" t="s">
        <v>1610</v>
      </c>
      <c r="G9" s="1792">
        <v>27.428599999999999</v>
      </c>
      <c r="H9" s="1792"/>
      <c r="I9" s="73" t="s">
        <v>2514</v>
      </c>
      <c r="J9" s="2200" t="s">
        <v>2506</v>
      </c>
      <c r="K9" s="8" t="s">
        <v>2508</v>
      </c>
      <c r="L9" s="8" t="s">
        <v>709</v>
      </c>
      <c r="M9" s="66">
        <v>42005</v>
      </c>
      <c r="N9" s="66"/>
    </row>
    <row r="10" spans="1:14">
      <c r="C10" s="74"/>
      <c r="G10" s="1792"/>
      <c r="H10" s="1792"/>
    </row>
    <row r="11" spans="1:14">
      <c r="C11" s="74"/>
      <c r="G11" s="1792"/>
      <c r="H11" s="1792"/>
    </row>
    <row r="12" spans="1:14">
      <c r="C12" s="74"/>
      <c r="G12" s="1792"/>
      <c r="H12" s="1792"/>
    </row>
    <row r="13" spans="1:14">
      <c r="C13" s="74"/>
      <c r="G13" s="1792"/>
      <c r="H13" s="1792"/>
    </row>
    <row r="14" spans="1:14">
      <c r="C14"/>
      <c r="G14" s="1792"/>
      <c r="H14" s="1792"/>
    </row>
    <row r="15" spans="1:14">
      <c r="C15" s="74"/>
      <c r="G15" s="1792"/>
    </row>
    <row r="16" spans="1:14">
      <c r="C16" s="74"/>
      <c r="G16" s="1792"/>
    </row>
    <row r="17" spans="7:7">
      <c r="G17" s="1792"/>
    </row>
    <row r="18" spans="7:7">
      <c r="G18" s="1792"/>
    </row>
    <row r="19" spans="7:7">
      <c r="G19" s="1792"/>
    </row>
    <row r="20" spans="7:7">
      <c r="G20" s="1792"/>
    </row>
    <row r="21" spans="7:7">
      <c r="G21" s="1792"/>
    </row>
    <row r="22" spans="7:7">
      <c r="G22" s="1792"/>
    </row>
    <row r="23" spans="7:7">
      <c r="G23" s="1792"/>
    </row>
    <row r="24" spans="7:7">
      <c r="G24" s="1792"/>
    </row>
    <row r="25" spans="7:7">
      <c r="G25" s="1792"/>
    </row>
    <row r="26" spans="7:7">
      <c r="G26" s="1792"/>
    </row>
    <row r="27" spans="7:7">
      <c r="G27" s="1792"/>
    </row>
    <row r="28" spans="7:7">
      <c r="G28" s="1792"/>
    </row>
    <row r="29" spans="7:7">
      <c r="G29" s="1792"/>
    </row>
    <row r="30" spans="7:7">
      <c r="G30" s="1792"/>
    </row>
    <row r="31" spans="7:7">
      <c r="G31" s="1792"/>
    </row>
    <row r="32" spans="7:7">
      <c r="G32" s="1792"/>
    </row>
    <row r="33" spans="7:7">
      <c r="G33" s="1792"/>
    </row>
    <row r="34" spans="7:7">
      <c r="G34" s="1792"/>
    </row>
    <row r="35" spans="7:7">
      <c r="G35" s="1792"/>
    </row>
    <row r="36" spans="7:7">
      <c r="G36" s="1792"/>
    </row>
    <row r="37" spans="7:7">
      <c r="G37" s="1792"/>
    </row>
    <row r="38" spans="7:7">
      <c r="G38" s="1792"/>
    </row>
    <row r="39" spans="7:7">
      <c r="G39" s="1792"/>
    </row>
    <row r="40" spans="7:7">
      <c r="G40" s="1792"/>
    </row>
  </sheetData>
  <phoneticPr fontId="230" type="noConversion"/>
  <printOptions horizontalCentered="1"/>
  <pageMargins left="0.75" right="0.75" top="1" bottom="1" header="0" footer="0"/>
  <pageSetup paperSize="9" scale="180" orientation="portrait" r:id="rId1"/>
  <headerFooter alignWithMargins="0"/>
  <drawing r:id="rId2"/>
  <legacyDrawing r:id="rId3"/>
  <oleObjects>
    <oleObject progId="Paint.Picture" shapeId="34820" r:id="rId4"/>
    <oleObject progId="Paint.Picture" shapeId="34821" r:id="rId5"/>
  </oleObjects>
</worksheet>
</file>

<file path=xl/worksheets/sheet26.xml><?xml version="1.0" encoding="utf-8"?>
<worksheet xmlns="http://schemas.openxmlformats.org/spreadsheetml/2006/main" xmlns:r="http://schemas.openxmlformats.org/officeDocument/2006/relationships">
  <sheetPr codeName="Hoja27">
    <pageSetUpPr fitToPage="1"/>
  </sheetPr>
  <dimension ref="B2:L39"/>
  <sheetViews>
    <sheetView zoomScale="73" workbookViewId="0"/>
  </sheetViews>
  <sheetFormatPr baseColWidth="10" defaultRowHeight="15"/>
  <cols>
    <col min="1" max="1" width="4.7109375" customWidth="1"/>
    <col min="2" max="2" width="5.5703125" style="8" customWidth="1"/>
    <col min="3" max="4" width="13.7109375" style="98" customWidth="1"/>
    <col min="5" max="5" width="15.7109375" style="98" customWidth="1"/>
    <col min="6" max="6" width="13" style="98" customWidth="1"/>
    <col min="7" max="7" width="11.28515625" style="99" bestFit="1" customWidth="1"/>
    <col min="8" max="8" width="11.85546875" style="98" bestFit="1" customWidth="1"/>
    <col min="9" max="10" width="10.7109375" style="98" customWidth="1"/>
    <col min="11" max="11" width="50.7109375" customWidth="1"/>
    <col min="12" max="12" width="30.7109375" customWidth="1"/>
  </cols>
  <sheetData>
    <row r="2" spans="3:12" ht="20.25">
      <c r="C2" s="3986" t="s">
        <v>2945</v>
      </c>
      <c r="D2" s="3986"/>
      <c r="E2" s="3986"/>
      <c r="F2" s="3986"/>
      <c r="G2" s="3986"/>
      <c r="H2" s="3986"/>
      <c r="I2" s="3986"/>
      <c r="J2" s="3986"/>
      <c r="K2" s="3986"/>
      <c r="L2" s="100">
        <v>39122</v>
      </c>
    </row>
    <row r="3" spans="3:12" ht="5.45" customHeight="1" thickBot="1">
      <c r="C3" s="106"/>
    </row>
    <row r="4" spans="3:12" ht="15.75">
      <c r="C4" s="4007" t="s">
        <v>4768</v>
      </c>
      <c r="D4" s="4008"/>
      <c r="E4" s="4011" t="s">
        <v>3431</v>
      </c>
      <c r="F4" s="4008"/>
      <c r="G4" s="4013" t="s">
        <v>2268</v>
      </c>
      <c r="H4" s="4018" t="s">
        <v>4610</v>
      </c>
      <c r="I4" s="4005" t="s">
        <v>1349</v>
      </c>
      <c r="J4" s="4006"/>
      <c r="K4" s="4003" t="s">
        <v>4880</v>
      </c>
      <c r="L4" s="4015" t="s">
        <v>1596</v>
      </c>
    </row>
    <row r="5" spans="3:12" ht="13.5" thickBot="1">
      <c r="C5" s="4009"/>
      <c r="D5" s="4010"/>
      <c r="E5" s="4012"/>
      <c r="F5" s="4010"/>
      <c r="G5" s="4014"/>
      <c r="H5" s="4019"/>
      <c r="I5" s="130" t="s">
        <v>1694</v>
      </c>
      <c r="J5" s="130" t="s">
        <v>1268</v>
      </c>
      <c r="K5" s="4004"/>
      <c r="L5" s="4016"/>
    </row>
    <row r="6" spans="3:12">
      <c r="C6" s="3991" t="s">
        <v>871</v>
      </c>
      <c r="D6" s="3992"/>
      <c r="E6" s="3997" t="s">
        <v>2448</v>
      </c>
      <c r="F6" s="3997"/>
      <c r="G6" s="118">
        <v>1</v>
      </c>
      <c r="H6" s="3988">
        <v>1</v>
      </c>
      <c r="I6" s="119">
        <v>1</v>
      </c>
      <c r="J6" s="119">
        <v>1</v>
      </c>
      <c r="K6" s="122" t="s">
        <v>1388</v>
      </c>
      <c r="L6" s="126"/>
    </row>
    <row r="7" spans="3:12">
      <c r="C7" s="3993"/>
      <c r="D7" s="3994"/>
      <c r="E7" s="3989" t="s">
        <v>1611</v>
      </c>
      <c r="F7" s="3989"/>
      <c r="G7" s="107">
        <v>1</v>
      </c>
      <c r="H7" s="3759"/>
      <c r="I7" s="120">
        <v>1</v>
      </c>
      <c r="J7" s="120">
        <v>1</v>
      </c>
      <c r="K7" s="82" t="s">
        <v>1388</v>
      </c>
      <c r="L7" s="127"/>
    </row>
    <row r="8" spans="3:12" ht="15.75" thickBot="1">
      <c r="C8" s="3995"/>
      <c r="D8" s="3996"/>
      <c r="E8" s="4017" t="s">
        <v>156</v>
      </c>
      <c r="F8" s="4017"/>
      <c r="G8" s="116">
        <f>3+2+1</f>
        <v>6</v>
      </c>
      <c r="H8" s="4002"/>
      <c r="I8" s="121">
        <v>5</v>
      </c>
      <c r="J8" s="121">
        <v>2</v>
      </c>
      <c r="K8" s="123"/>
      <c r="L8" s="128"/>
    </row>
    <row r="9" spans="3:12">
      <c r="C9" s="3991" t="s">
        <v>2447</v>
      </c>
      <c r="D9" s="3992"/>
      <c r="E9" s="3997" t="s">
        <v>95</v>
      </c>
      <c r="F9" s="3997"/>
      <c r="G9" s="118">
        <v>1</v>
      </c>
      <c r="H9" s="3988">
        <v>1</v>
      </c>
      <c r="I9" s="119">
        <v>1</v>
      </c>
      <c r="J9" s="119">
        <v>1</v>
      </c>
      <c r="K9" s="122"/>
      <c r="L9" s="126"/>
    </row>
    <row r="10" spans="3:12">
      <c r="C10" s="3993"/>
      <c r="D10" s="3994"/>
      <c r="E10" s="3989" t="s">
        <v>3477</v>
      </c>
      <c r="F10" s="3989"/>
      <c r="G10" s="107">
        <v>3</v>
      </c>
      <c r="H10" s="3759"/>
      <c r="I10" s="120">
        <v>1</v>
      </c>
      <c r="J10" s="120">
        <v>4</v>
      </c>
      <c r="K10" s="82"/>
      <c r="L10" s="127"/>
    </row>
    <row r="11" spans="3:12">
      <c r="C11" s="3993"/>
      <c r="D11" s="3994"/>
      <c r="E11" s="3989" t="s">
        <v>4010</v>
      </c>
      <c r="F11" s="3989"/>
      <c r="G11" s="107">
        <v>4</v>
      </c>
      <c r="H11" s="3759">
        <v>1</v>
      </c>
      <c r="I11" s="120">
        <v>1</v>
      </c>
      <c r="J11" s="120">
        <v>2</v>
      </c>
      <c r="K11" s="82" t="s">
        <v>1013</v>
      </c>
      <c r="L11" s="127"/>
    </row>
    <row r="12" spans="3:12">
      <c r="C12" s="3993"/>
      <c r="D12" s="3994"/>
      <c r="E12" s="3989" t="s">
        <v>3505</v>
      </c>
      <c r="F12" s="3989"/>
      <c r="G12" s="107">
        <v>2</v>
      </c>
      <c r="H12" s="3759"/>
      <c r="I12" s="120"/>
      <c r="J12" s="120">
        <v>1</v>
      </c>
      <c r="K12" s="82" t="s">
        <v>1927</v>
      </c>
      <c r="L12" s="127"/>
    </row>
    <row r="13" spans="3:12" ht="26.25" thickBot="1">
      <c r="C13" s="3995"/>
      <c r="D13" s="3996"/>
      <c r="E13" s="4001" t="s">
        <v>2710</v>
      </c>
      <c r="F13" s="4001"/>
      <c r="G13" s="116">
        <f>9+16</f>
        <v>25</v>
      </c>
      <c r="H13" s="4002"/>
      <c r="I13" s="121"/>
      <c r="J13" s="121">
        <v>1</v>
      </c>
      <c r="K13" s="124" t="s">
        <v>1092</v>
      </c>
      <c r="L13" s="128"/>
    </row>
    <row r="14" spans="3:12">
      <c r="C14" s="3991" t="s">
        <v>1977</v>
      </c>
      <c r="D14" s="3992"/>
      <c r="E14" s="3998" t="s">
        <v>2263</v>
      </c>
      <c r="F14" s="3998"/>
      <c r="G14" s="118">
        <v>2</v>
      </c>
      <c r="H14" s="3988">
        <v>1</v>
      </c>
      <c r="I14" s="119">
        <v>2</v>
      </c>
      <c r="J14" s="119">
        <v>2</v>
      </c>
      <c r="K14" s="122"/>
      <c r="L14" s="126"/>
    </row>
    <row r="15" spans="3:12">
      <c r="C15" s="3993"/>
      <c r="D15" s="3994"/>
      <c r="E15" s="3989" t="s">
        <v>2264</v>
      </c>
      <c r="F15" s="3989"/>
      <c r="G15" s="107">
        <v>1</v>
      </c>
      <c r="H15" s="3759"/>
      <c r="I15" s="120">
        <v>1</v>
      </c>
      <c r="J15" s="120">
        <v>1</v>
      </c>
      <c r="K15" s="82" t="s">
        <v>4272</v>
      </c>
      <c r="L15" s="127"/>
    </row>
    <row r="16" spans="3:12" ht="18">
      <c r="C16" s="3993"/>
      <c r="D16" s="3994"/>
      <c r="E16" s="3999" t="s">
        <v>3672</v>
      </c>
      <c r="F16" s="4000"/>
      <c r="G16" s="107">
        <v>1</v>
      </c>
      <c r="H16" s="117">
        <v>1</v>
      </c>
      <c r="I16" s="120"/>
      <c r="J16" s="120"/>
      <c r="K16" s="82" t="s">
        <v>819</v>
      </c>
      <c r="L16" s="127"/>
    </row>
    <row r="17" spans="3:12" ht="25.5">
      <c r="C17" s="3993"/>
      <c r="D17" s="3994"/>
      <c r="E17" s="3989" t="s">
        <v>2466</v>
      </c>
      <c r="F17" s="3989"/>
      <c r="G17" s="107">
        <v>1</v>
      </c>
      <c r="H17" s="3759">
        <v>3</v>
      </c>
      <c r="I17" s="120"/>
      <c r="J17" s="120"/>
      <c r="K17" s="125" t="s">
        <v>3407</v>
      </c>
      <c r="L17" s="127"/>
    </row>
    <row r="18" spans="3:12" ht="25.5">
      <c r="C18" s="3993"/>
      <c r="D18" s="3994"/>
      <c r="E18" s="3989" t="s">
        <v>1442</v>
      </c>
      <c r="F18" s="3989"/>
      <c r="G18" s="107">
        <f>1+4+1</f>
        <v>6</v>
      </c>
      <c r="H18" s="3759"/>
      <c r="I18" s="120"/>
      <c r="J18" s="120"/>
      <c r="K18" s="125" t="s">
        <v>4644</v>
      </c>
      <c r="L18" s="127"/>
    </row>
    <row r="19" spans="3:12" ht="25.5">
      <c r="C19" s="3993"/>
      <c r="D19" s="3994"/>
      <c r="E19" s="3989" t="s">
        <v>4353</v>
      </c>
      <c r="F19" s="3989"/>
      <c r="G19" s="107">
        <v>4</v>
      </c>
      <c r="H19" s="3759"/>
      <c r="I19" s="120">
        <v>1</v>
      </c>
      <c r="J19" s="120"/>
      <c r="K19" s="125" t="s">
        <v>2891</v>
      </c>
      <c r="L19" s="127"/>
    </row>
    <row r="20" spans="3:12" ht="25.5">
      <c r="C20" s="3993"/>
      <c r="D20" s="3994"/>
      <c r="E20" s="3989" t="s">
        <v>4009</v>
      </c>
      <c r="F20" s="3989"/>
      <c r="G20" s="107">
        <v>1</v>
      </c>
      <c r="H20" s="3759"/>
      <c r="I20" s="120">
        <v>1</v>
      </c>
      <c r="J20" s="120"/>
      <c r="K20" s="125" t="s">
        <v>2140</v>
      </c>
      <c r="L20" s="127"/>
    </row>
    <row r="21" spans="3:12">
      <c r="C21" s="3993"/>
      <c r="D21" s="3994"/>
      <c r="E21" s="3989" t="s">
        <v>2265</v>
      </c>
      <c r="F21" s="3989"/>
      <c r="G21" s="107">
        <v>3</v>
      </c>
      <c r="H21" s="3759"/>
      <c r="I21" s="120"/>
      <c r="J21" s="120"/>
      <c r="K21" s="82" t="s">
        <v>3370</v>
      </c>
      <c r="L21" s="127"/>
    </row>
    <row r="22" spans="3:12">
      <c r="C22" s="3993"/>
      <c r="D22" s="3994"/>
      <c r="E22" s="3989" t="s">
        <v>2266</v>
      </c>
      <c r="F22" s="3989"/>
      <c r="G22" s="107">
        <v>0</v>
      </c>
      <c r="H22" s="3759"/>
      <c r="I22" s="120"/>
      <c r="J22" s="120"/>
      <c r="K22" s="82" t="s">
        <v>4322</v>
      </c>
      <c r="L22" s="127"/>
    </row>
    <row r="23" spans="3:12">
      <c r="C23" s="3993"/>
      <c r="D23" s="3994"/>
      <c r="E23" s="3989" t="s">
        <v>3612</v>
      </c>
      <c r="F23" s="3989"/>
      <c r="G23" s="107">
        <v>2</v>
      </c>
      <c r="H23" s="3759"/>
      <c r="I23" s="120"/>
      <c r="J23" s="120"/>
      <c r="K23" s="82" t="s">
        <v>4234</v>
      </c>
      <c r="L23" s="127"/>
    </row>
    <row r="24" spans="3:12" ht="25.5">
      <c r="C24" s="3993"/>
      <c r="D24" s="3994"/>
      <c r="E24" s="3989" t="s">
        <v>3428</v>
      </c>
      <c r="F24" s="3989"/>
      <c r="G24" s="107">
        <v>2</v>
      </c>
      <c r="H24" s="3759"/>
      <c r="I24" s="120"/>
      <c r="J24" s="120"/>
      <c r="K24" s="125" t="s">
        <v>1759</v>
      </c>
      <c r="L24" s="129" t="s">
        <v>3733</v>
      </c>
    </row>
    <row r="25" spans="3:12">
      <c r="C25" s="3993"/>
      <c r="D25" s="3994"/>
      <c r="E25" s="3989" t="s">
        <v>2267</v>
      </c>
      <c r="F25" s="3989"/>
      <c r="G25" s="107">
        <v>1</v>
      </c>
      <c r="H25" s="3759"/>
      <c r="I25" s="120"/>
      <c r="J25" s="120"/>
      <c r="K25" s="82" t="s">
        <v>164</v>
      </c>
      <c r="L25" s="127"/>
    </row>
    <row r="26" spans="3:12" ht="25.5">
      <c r="C26" s="3993"/>
      <c r="D26" s="3994"/>
      <c r="E26" s="3989" t="s">
        <v>3766</v>
      </c>
      <c r="F26" s="3989"/>
      <c r="G26" s="107">
        <f>1+2</f>
        <v>3</v>
      </c>
      <c r="H26" s="3759"/>
      <c r="I26" s="120"/>
      <c r="J26" s="120"/>
      <c r="K26" s="82" t="s">
        <v>358</v>
      </c>
      <c r="L26" s="129" t="s">
        <v>1079</v>
      </c>
    </row>
    <row r="27" spans="3:12" ht="24.95" customHeight="1" thickBot="1">
      <c r="C27" s="3995"/>
      <c r="D27" s="3996"/>
      <c r="E27" s="3990" t="s">
        <v>4481</v>
      </c>
      <c r="F27" s="3990"/>
      <c r="G27" s="116">
        <v>1</v>
      </c>
      <c r="H27" s="109">
        <v>4</v>
      </c>
      <c r="I27" s="121">
        <v>1</v>
      </c>
      <c r="J27" s="121"/>
      <c r="K27" s="124" t="s">
        <v>3479</v>
      </c>
      <c r="L27" s="128"/>
    </row>
    <row r="28" spans="3:12" ht="20.25">
      <c r="E28" s="3987" t="s">
        <v>1492</v>
      </c>
      <c r="F28" s="3987"/>
      <c r="G28" s="114">
        <f>SUM(G6:G27)</f>
        <v>71</v>
      </c>
      <c r="H28" s="115">
        <f>SUM(H6:H27)</f>
        <v>12</v>
      </c>
      <c r="I28" s="115">
        <f>SUM(I6:I27)</f>
        <v>16</v>
      </c>
      <c r="J28" s="115">
        <f>SUM(J6:J27)</f>
        <v>16</v>
      </c>
    </row>
    <row r="29" spans="3:12">
      <c r="G29" s="105"/>
    </row>
    <row r="30" spans="3:12">
      <c r="G30" s="105"/>
    </row>
    <row r="31" spans="3:12">
      <c r="G31" s="105"/>
    </row>
    <row r="32" spans="3:12">
      <c r="G32" s="105"/>
    </row>
    <row r="33" spans="7:7">
      <c r="G33" s="105"/>
    </row>
    <row r="34" spans="7:7">
      <c r="G34" s="108"/>
    </row>
    <row r="35" spans="7:7">
      <c r="G35" s="105"/>
    </row>
    <row r="36" spans="7:7">
      <c r="G36" s="105"/>
    </row>
    <row r="37" spans="7:7">
      <c r="G37" s="105"/>
    </row>
    <row r="38" spans="7:7">
      <c r="G38" s="105"/>
    </row>
    <row r="39" spans="7:7">
      <c r="G39" s="105"/>
    </row>
  </sheetData>
  <mergeCells count="39">
    <mergeCell ref="L4:L5"/>
    <mergeCell ref="H11:H13"/>
    <mergeCell ref="E7:F7"/>
    <mergeCell ref="E8:F8"/>
    <mergeCell ref="E9:F9"/>
    <mergeCell ref="E10:F10"/>
    <mergeCell ref="E11:F11"/>
    <mergeCell ref="H4:H5"/>
    <mergeCell ref="C2:K2"/>
    <mergeCell ref="E13:F13"/>
    <mergeCell ref="H6:H8"/>
    <mergeCell ref="H9:H10"/>
    <mergeCell ref="E12:F12"/>
    <mergeCell ref="K4:K5"/>
    <mergeCell ref="I4:J4"/>
    <mergeCell ref="C4:D5"/>
    <mergeCell ref="E4:F5"/>
    <mergeCell ref="G4:G5"/>
    <mergeCell ref="C14:D27"/>
    <mergeCell ref="E6:F6"/>
    <mergeCell ref="E14:F14"/>
    <mergeCell ref="E15:F15"/>
    <mergeCell ref="E17:F17"/>
    <mergeCell ref="E19:F19"/>
    <mergeCell ref="E20:F20"/>
    <mergeCell ref="E21:F21"/>
    <mergeCell ref="C6:D8"/>
    <mergeCell ref="C9:D13"/>
    <mergeCell ref="E16:F16"/>
    <mergeCell ref="E28:F28"/>
    <mergeCell ref="H14:H15"/>
    <mergeCell ref="H17:H26"/>
    <mergeCell ref="E18:F18"/>
    <mergeCell ref="E26:F26"/>
    <mergeCell ref="E27:F27"/>
    <mergeCell ref="E22:F22"/>
    <mergeCell ref="E23:F23"/>
    <mergeCell ref="E24:F24"/>
    <mergeCell ref="E25:F25"/>
  </mergeCells>
  <phoneticPr fontId="0" type="noConversion"/>
  <printOptions horizontalCentered="1"/>
  <pageMargins left="0.75" right="0.75" top="0.9055118110236221" bottom="1" header="0" footer="0"/>
  <pageSetup scale="62" orientation="landscape" horizontalDpi="300" verticalDpi="300" r:id="rId1"/>
  <headerFooter alignWithMargins="0"/>
</worksheet>
</file>

<file path=xl/worksheets/sheet27.xml><?xml version="1.0" encoding="utf-8"?>
<worksheet xmlns="http://schemas.openxmlformats.org/spreadsheetml/2006/main" xmlns:r="http://schemas.openxmlformats.org/officeDocument/2006/relationships">
  <sheetPr codeName="Hoja28">
    <pageSetUpPr fitToPage="1"/>
  </sheetPr>
  <dimension ref="B2:K39"/>
  <sheetViews>
    <sheetView workbookViewId="0"/>
  </sheetViews>
  <sheetFormatPr baseColWidth="10" defaultRowHeight="12.75"/>
  <cols>
    <col min="1" max="3" width="5.7109375" customWidth="1"/>
    <col min="4" max="4" width="16.28515625" style="428" customWidth="1"/>
    <col min="5" max="5" width="9.85546875" customWidth="1"/>
    <col min="6" max="6" width="16.140625" customWidth="1"/>
    <col min="7" max="7" width="20.7109375" customWidth="1"/>
  </cols>
  <sheetData>
    <row r="2" spans="2:11" ht="24.95" customHeight="1">
      <c r="B2" s="441" t="s">
        <v>2890</v>
      </c>
    </row>
    <row r="3" spans="2:11" ht="24.95" customHeight="1">
      <c r="B3" s="434" t="s">
        <v>3430</v>
      </c>
      <c r="C3" s="434" t="s">
        <v>491</v>
      </c>
      <c r="D3" s="431" t="s">
        <v>4146</v>
      </c>
      <c r="E3" s="4020" t="s">
        <v>1694</v>
      </c>
      <c r="F3" s="4020"/>
      <c r="G3" s="431" t="s">
        <v>4712</v>
      </c>
      <c r="I3" t="s">
        <v>5018</v>
      </c>
      <c r="J3" s="434" t="s">
        <v>911</v>
      </c>
      <c r="K3" s="432" t="s">
        <v>912</v>
      </c>
    </row>
    <row r="4" spans="2:11" ht="30.2" customHeight="1">
      <c r="B4" s="7"/>
      <c r="C4" s="435">
        <v>1</v>
      </c>
      <c r="D4" s="436" t="s">
        <v>490</v>
      </c>
      <c r="E4" s="437" t="s">
        <v>4150</v>
      </c>
      <c r="F4" s="438" t="s">
        <v>3476</v>
      </c>
      <c r="G4" s="437" t="s">
        <v>4744</v>
      </c>
      <c r="J4" s="439" t="s">
        <v>1020</v>
      </c>
      <c r="K4" s="440" t="s">
        <v>2246</v>
      </c>
    </row>
    <row r="5" spans="2:11" ht="24.95" customHeight="1">
      <c r="B5" s="4029" t="s">
        <v>871</v>
      </c>
      <c r="C5" s="430">
        <v>2</v>
      </c>
      <c r="D5" s="431" t="s">
        <v>3008</v>
      </c>
      <c r="E5" s="432" t="s">
        <v>2250</v>
      </c>
      <c r="F5" s="433" t="s">
        <v>3476</v>
      </c>
      <c r="G5" s="434" t="s">
        <v>492</v>
      </c>
      <c r="J5" s="434" t="s">
        <v>909</v>
      </c>
      <c r="K5" s="7" t="s">
        <v>4503</v>
      </c>
    </row>
    <row r="6" spans="2:11" ht="24.95" customHeight="1">
      <c r="B6" s="4029"/>
      <c r="C6" s="430">
        <v>3</v>
      </c>
      <c r="D6" s="431" t="s">
        <v>3009</v>
      </c>
      <c r="E6" s="432" t="s">
        <v>4150</v>
      </c>
      <c r="F6" s="433" t="s">
        <v>4097</v>
      </c>
      <c r="G6" s="432" t="s">
        <v>4743</v>
      </c>
      <c r="J6" s="434" t="s">
        <v>909</v>
      </c>
      <c r="K6" s="7"/>
    </row>
    <row r="7" spans="2:11" ht="24.95" customHeight="1">
      <c r="B7" s="4029"/>
      <c r="C7" s="430">
        <v>4</v>
      </c>
      <c r="D7" s="431" t="s">
        <v>1292</v>
      </c>
      <c r="E7" s="432" t="s">
        <v>4150</v>
      </c>
      <c r="F7" s="433" t="s">
        <v>4097</v>
      </c>
      <c r="G7" s="432" t="s">
        <v>3572</v>
      </c>
      <c r="J7" s="434" t="s">
        <v>909</v>
      </c>
      <c r="K7" s="7"/>
    </row>
    <row r="8" spans="2:11" ht="24.95" customHeight="1">
      <c r="B8" s="4029"/>
      <c r="C8" s="430">
        <v>5</v>
      </c>
      <c r="D8" s="431" t="s">
        <v>1296</v>
      </c>
      <c r="E8" s="432" t="s">
        <v>4150</v>
      </c>
      <c r="F8" s="433" t="s">
        <v>4097</v>
      </c>
      <c r="G8" s="432" t="s">
        <v>4744</v>
      </c>
      <c r="J8" s="434"/>
      <c r="K8" s="7"/>
    </row>
    <row r="9" spans="2:11" ht="24.95" customHeight="1">
      <c r="B9" s="4029" t="s">
        <v>2447</v>
      </c>
      <c r="C9" s="430">
        <v>6</v>
      </c>
      <c r="D9" s="431" t="s">
        <v>1293</v>
      </c>
      <c r="E9" s="432" t="s">
        <v>4150</v>
      </c>
      <c r="F9" s="433" t="s">
        <v>4097</v>
      </c>
      <c r="G9" s="432" t="s">
        <v>3572</v>
      </c>
      <c r="J9" s="434" t="s">
        <v>909</v>
      </c>
      <c r="K9" s="7"/>
    </row>
    <row r="10" spans="2:11" ht="24.95" customHeight="1">
      <c r="B10" s="4029"/>
      <c r="C10" s="430">
        <v>7</v>
      </c>
      <c r="D10" s="431" t="s">
        <v>2306</v>
      </c>
      <c r="E10" s="432" t="s">
        <v>4150</v>
      </c>
      <c r="F10" s="433" t="s">
        <v>4097</v>
      </c>
      <c r="G10" s="434" t="s">
        <v>492</v>
      </c>
      <c r="J10" s="434" t="s">
        <v>909</v>
      </c>
      <c r="K10" s="7"/>
    </row>
    <row r="11" spans="2:11" ht="24.95" customHeight="1">
      <c r="B11" s="4029"/>
      <c r="C11" s="430">
        <v>8</v>
      </c>
      <c r="D11" s="431" t="s">
        <v>4985</v>
      </c>
      <c r="E11" s="432" t="s">
        <v>4150</v>
      </c>
      <c r="F11" s="433" t="s">
        <v>4896</v>
      </c>
      <c r="G11" s="434" t="s">
        <v>492</v>
      </c>
      <c r="J11" s="434"/>
      <c r="K11" s="7"/>
    </row>
    <row r="12" spans="2:11" ht="24.95" customHeight="1">
      <c r="B12" s="4029" t="s">
        <v>1977</v>
      </c>
      <c r="C12" s="430">
        <v>9</v>
      </c>
      <c r="D12" s="431" t="s">
        <v>3471</v>
      </c>
      <c r="E12" s="432" t="s">
        <v>4150</v>
      </c>
      <c r="F12" s="433" t="s">
        <v>4097</v>
      </c>
      <c r="G12" s="432" t="s">
        <v>3572</v>
      </c>
      <c r="J12" s="434" t="s">
        <v>909</v>
      </c>
      <c r="K12" s="7"/>
    </row>
    <row r="13" spans="2:11" ht="24.95" customHeight="1">
      <c r="B13" s="4029"/>
      <c r="C13" s="430">
        <v>10</v>
      </c>
      <c r="D13" s="431" t="s">
        <v>3472</v>
      </c>
      <c r="E13" s="432" t="s">
        <v>4150</v>
      </c>
      <c r="F13" s="433" t="s">
        <v>4097</v>
      </c>
      <c r="G13" s="432" t="s">
        <v>3572</v>
      </c>
      <c r="J13" s="434" t="s">
        <v>909</v>
      </c>
      <c r="K13" s="7"/>
    </row>
    <row r="14" spans="2:11" ht="24.95" customHeight="1">
      <c r="B14" s="4029"/>
      <c r="C14" s="430">
        <v>11</v>
      </c>
      <c r="D14" s="431" t="s">
        <v>2264</v>
      </c>
      <c r="E14" s="432" t="s">
        <v>4150</v>
      </c>
      <c r="F14" s="433" t="s">
        <v>4097</v>
      </c>
      <c r="G14" s="432" t="s">
        <v>3572</v>
      </c>
      <c r="J14" s="434" t="s">
        <v>909</v>
      </c>
      <c r="K14" s="7"/>
    </row>
    <row r="15" spans="2:11" ht="24.95" customHeight="1">
      <c r="B15" s="4029"/>
      <c r="C15" s="430">
        <v>12</v>
      </c>
      <c r="D15" s="431" t="s">
        <v>489</v>
      </c>
      <c r="E15" s="432" t="s">
        <v>4150</v>
      </c>
      <c r="F15" s="433" t="s">
        <v>4896</v>
      </c>
      <c r="G15" s="434" t="s">
        <v>492</v>
      </c>
      <c r="J15" s="434"/>
      <c r="K15" s="7"/>
    </row>
    <row r="16" spans="2:11" ht="24.95" customHeight="1">
      <c r="B16" s="4029"/>
      <c r="C16" s="430">
        <v>13</v>
      </c>
      <c r="D16" s="431" t="s">
        <v>3414</v>
      </c>
      <c r="E16" s="432" t="s">
        <v>4150</v>
      </c>
      <c r="F16" s="433" t="s">
        <v>3476</v>
      </c>
      <c r="G16" s="434" t="s">
        <v>492</v>
      </c>
      <c r="J16" s="434"/>
      <c r="K16" s="7"/>
    </row>
    <row r="17" spans="2:11" ht="24.95" customHeight="1">
      <c r="B17" s="4029"/>
      <c r="C17" s="430">
        <v>14</v>
      </c>
      <c r="D17" s="431" t="s">
        <v>4481</v>
      </c>
      <c r="E17" s="432" t="s">
        <v>4150</v>
      </c>
      <c r="F17" s="433" t="s">
        <v>910</v>
      </c>
      <c r="G17" s="434" t="s">
        <v>492</v>
      </c>
      <c r="J17" s="434"/>
      <c r="K17" s="7"/>
    </row>
    <row r="18" spans="2:11" ht="9.9499999999999993" customHeight="1">
      <c r="B18" s="442"/>
      <c r="C18" s="443"/>
      <c r="D18" s="444"/>
      <c r="E18" s="445"/>
      <c r="F18" s="446"/>
      <c r="G18" s="447"/>
      <c r="H18" s="447"/>
      <c r="I18" s="75"/>
    </row>
    <row r="19" spans="2:11" ht="24.95" customHeight="1">
      <c r="B19" s="441" t="s">
        <v>3013</v>
      </c>
      <c r="G19" s="75"/>
    </row>
    <row r="20" spans="2:11" ht="24.95" customHeight="1">
      <c r="B20" s="434" t="s">
        <v>1098</v>
      </c>
      <c r="C20" s="434" t="s">
        <v>3881</v>
      </c>
      <c r="D20" s="4020" t="s">
        <v>2753</v>
      </c>
      <c r="E20" s="4020"/>
      <c r="F20" s="4022" t="s">
        <v>485</v>
      </c>
      <c r="G20" s="4023"/>
      <c r="H20" s="4023"/>
      <c r="I20" s="4024"/>
    </row>
    <row r="21" spans="2:11" ht="24.95" customHeight="1">
      <c r="B21" s="430">
        <v>1</v>
      </c>
      <c r="C21" s="430">
        <v>1</v>
      </c>
      <c r="D21" s="4021" t="s">
        <v>1894</v>
      </c>
      <c r="E21" s="4021"/>
      <c r="F21" s="4025" t="s">
        <v>2936</v>
      </c>
      <c r="G21" s="4025"/>
      <c r="H21" s="4025"/>
      <c r="I21" s="4025"/>
    </row>
    <row r="22" spans="2:11" ht="24.95" customHeight="1">
      <c r="B22" s="430">
        <v>2</v>
      </c>
      <c r="C22" s="430">
        <v>1</v>
      </c>
      <c r="D22" s="4021" t="s">
        <v>4293</v>
      </c>
      <c r="E22" s="4021"/>
      <c r="F22" s="4025" t="s">
        <v>2223</v>
      </c>
      <c r="G22" s="4025"/>
      <c r="H22" s="4025"/>
      <c r="I22" s="4025"/>
    </row>
    <row r="23" spans="2:11" ht="24.95" customHeight="1">
      <c r="B23" s="430">
        <v>3</v>
      </c>
      <c r="C23" s="430">
        <v>2</v>
      </c>
      <c r="D23" s="4021" t="s">
        <v>78</v>
      </c>
      <c r="E23" s="4021"/>
      <c r="F23" s="4026" t="s">
        <v>3751</v>
      </c>
      <c r="G23" s="4026"/>
      <c r="H23" s="4026"/>
      <c r="I23" s="4026"/>
    </row>
    <row r="24" spans="2:11" ht="24.95" customHeight="1">
      <c r="B24" s="430">
        <v>4</v>
      </c>
      <c r="C24" s="430">
        <v>1</v>
      </c>
      <c r="D24" s="4021" t="s">
        <v>484</v>
      </c>
      <c r="E24" s="4021"/>
      <c r="F24" s="4026" t="s">
        <v>2926</v>
      </c>
      <c r="G24" s="4026"/>
      <c r="H24" s="4026"/>
      <c r="I24" s="4026"/>
    </row>
    <row r="25" spans="2:11" ht="9.9499999999999993" customHeight="1">
      <c r="B25" s="448"/>
      <c r="C25" s="448"/>
      <c r="D25" s="76"/>
      <c r="E25" s="76"/>
      <c r="F25" s="449"/>
    </row>
    <row r="26" spans="2:11" ht="24.95" customHeight="1">
      <c r="B26" s="441" t="s">
        <v>1231</v>
      </c>
    </row>
    <row r="27" spans="2:11" ht="24.95" customHeight="1">
      <c r="B27" s="434" t="s">
        <v>1098</v>
      </c>
      <c r="C27" s="434" t="s">
        <v>3881</v>
      </c>
      <c r="D27" s="4020" t="s">
        <v>503</v>
      </c>
      <c r="E27" s="4020"/>
      <c r="F27" s="4022" t="s">
        <v>4358</v>
      </c>
      <c r="G27" s="4023"/>
      <c r="H27" s="4024"/>
    </row>
    <row r="28" spans="2:11" ht="24.95" customHeight="1">
      <c r="B28" s="430">
        <v>1</v>
      </c>
      <c r="C28" s="430">
        <v>1</v>
      </c>
      <c r="D28" s="4021" t="s">
        <v>1944</v>
      </c>
      <c r="E28" s="4021"/>
      <c r="F28" s="4028" t="s">
        <v>1176</v>
      </c>
      <c r="G28" s="4028"/>
      <c r="H28" s="4028"/>
    </row>
    <row r="29" spans="2:11" ht="24.95" customHeight="1">
      <c r="B29" s="430">
        <v>2</v>
      </c>
      <c r="C29" s="430">
        <v>15</v>
      </c>
      <c r="D29" s="4021" t="s">
        <v>790</v>
      </c>
      <c r="E29" s="4021"/>
      <c r="F29" s="4028" t="s">
        <v>1177</v>
      </c>
      <c r="G29" s="4028"/>
      <c r="H29" s="4028"/>
    </row>
    <row r="30" spans="2:11" ht="24.95" customHeight="1">
      <c r="B30" s="430">
        <v>3</v>
      </c>
      <c r="C30" s="430">
        <v>10</v>
      </c>
      <c r="D30" s="4021" t="s">
        <v>4359</v>
      </c>
      <c r="E30" s="4021"/>
      <c r="F30" s="4027" t="s">
        <v>2984</v>
      </c>
      <c r="G30" s="4027"/>
      <c r="H30" s="4027"/>
    </row>
    <row r="31" spans="2:11" ht="24.95" customHeight="1">
      <c r="B31" s="430">
        <v>4</v>
      </c>
      <c r="C31" s="430">
        <v>1</v>
      </c>
      <c r="D31" s="4021" t="s">
        <v>1402</v>
      </c>
      <c r="E31" s="4021"/>
      <c r="F31" s="4028" t="s">
        <v>791</v>
      </c>
      <c r="G31" s="4028"/>
      <c r="H31" s="4028"/>
    </row>
    <row r="32" spans="2:11" ht="24.95" customHeight="1">
      <c r="B32" s="430">
        <v>5</v>
      </c>
      <c r="C32" s="430">
        <v>1</v>
      </c>
      <c r="D32" s="4021" t="s">
        <v>3262</v>
      </c>
      <c r="E32" s="4021"/>
      <c r="F32" s="4028" t="s">
        <v>1530</v>
      </c>
      <c r="G32" s="4028"/>
      <c r="H32" s="4028"/>
    </row>
    <row r="33" spans="2:8" ht="24.95" customHeight="1">
      <c r="B33" s="430">
        <v>6</v>
      </c>
      <c r="C33" s="450" t="s">
        <v>3991</v>
      </c>
      <c r="D33" s="4021" t="s">
        <v>3880</v>
      </c>
      <c r="E33" s="4021"/>
      <c r="F33" s="4027" t="s">
        <v>1557</v>
      </c>
      <c r="G33" s="4027"/>
      <c r="H33" s="4027"/>
    </row>
    <row r="34" spans="2:8" ht="5.45" customHeight="1">
      <c r="B34" s="44"/>
      <c r="C34" s="44"/>
      <c r="D34" s="73"/>
      <c r="E34" s="428"/>
      <c r="F34" s="429"/>
    </row>
    <row r="35" spans="2:8">
      <c r="C35" s="44"/>
      <c r="D35" s="73"/>
      <c r="E35" s="428"/>
      <c r="F35" s="429"/>
    </row>
    <row r="36" spans="2:8">
      <c r="C36" s="44"/>
      <c r="D36" s="73"/>
      <c r="E36" s="428"/>
      <c r="F36" s="428"/>
    </row>
    <row r="37" spans="2:8">
      <c r="D37" s="73"/>
      <c r="E37" s="428"/>
      <c r="F37" s="428"/>
    </row>
    <row r="38" spans="2:8">
      <c r="D38" s="73"/>
      <c r="E38" s="428"/>
      <c r="F38" s="428"/>
    </row>
    <row r="39" spans="2:8">
      <c r="E39" s="428"/>
      <c r="F39" s="428"/>
    </row>
  </sheetData>
  <mergeCells count="28">
    <mergeCell ref="D28:E28"/>
    <mergeCell ref="F28:H28"/>
    <mergeCell ref="B5:B8"/>
    <mergeCell ref="B9:B11"/>
    <mergeCell ref="B12:B17"/>
    <mergeCell ref="D21:E21"/>
    <mergeCell ref="F24:I24"/>
    <mergeCell ref="D24:E24"/>
    <mergeCell ref="D27:E27"/>
    <mergeCell ref="F27:H27"/>
    <mergeCell ref="F33:H33"/>
    <mergeCell ref="F29:H29"/>
    <mergeCell ref="F30:H30"/>
    <mergeCell ref="D33:E33"/>
    <mergeCell ref="D29:E29"/>
    <mergeCell ref="D30:E30"/>
    <mergeCell ref="D31:E31"/>
    <mergeCell ref="F31:H31"/>
    <mergeCell ref="F32:H32"/>
    <mergeCell ref="D32:E32"/>
    <mergeCell ref="E3:F3"/>
    <mergeCell ref="D22:E22"/>
    <mergeCell ref="D23:E23"/>
    <mergeCell ref="D20:E20"/>
    <mergeCell ref="F20:I20"/>
    <mergeCell ref="F22:I22"/>
    <mergeCell ref="F23:I23"/>
    <mergeCell ref="F21:I21"/>
  </mergeCells>
  <phoneticPr fontId="11" type="noConversion"/>
  <pageMargins left="0.42" right="0.75" top="1" bottom="1" header="0" footer="0"/>
  <pageSetup scale="84" orientation="portrait" horizontalDpi="120" verticalDpi="144" r:id="rId1"/>
  <headerFooter alignWithMargins="0"/>
</worksheet>
</file>

<file path=xl/worksheets/sheet28.xml><?xml version="1.0" encoding="utf-8"?>
<worksheet xmlns="http://schemas.openxmlformats.org/spreadsheetml/2006/main" xmlns:r="http://schemas.openxmlformats.org/officeDocument/2006/relationships">
  <sheetPr codeName="Hoja29">
    <pageSetUpPr fitToPage="1"/>
  </sheetPr>
  <dimension ref="B2:I18"/>
  <sheetViews>
    <sheetView zoomScale="90" workbookViewId="0"/>
  </sheetViews>
  <sheetFormatPr baseColWidth="10" defaultRowHeight="12.75"/>
  <cols>
    <col min="1" max="1" width="3.85546875" customWidth="1"/>
    <col min="2" max="3" width="6.7109375" customWidth="1"/>
    <col min="5" max="6" width="13" customWidth="1"/>
    <col min="7" max="7" width="7.140625" customWidth="1"/>
    <col min="8" max="8" width="25.140625" customWidth="1"/>
    <col min="9" max="9" width="60.7109375" style="150" customWidth="1"/>
  </cols>
  <sheetData>
    <row r="2" spans="2:9" ht="13.5" thickBot="1"/>
    <row r="3" spans="2:9" ht="30.2" customHeight="1" thickBot="1">
      <c r="B3" s="4032"/>
      <c r="C3" s="4032"/>
      <c r="D3" s="4041" t="s">
        <v>2544</v>
      </c>
      <c r="E3" s="4043"/>
      <c r="F3" s="4043"/>
      <c r="G3" s="4041" t="s">
        <v>2268</v>
      </c>
      <c r="H3" s="4042"/>
      <c r="I3" s="420" t="s">
        <v>2545</v>
      </c>
    </row>
    <row r="4" spans="2:9" ht="39.950000000000003" customHeight="1">
      <c r="B4" s="4033" t="s">
        <v>1380</v>
      </c>
      <c r="C4" s="4034"/>
      <c r="D4" s="409" t="s">
        <v>4770</v>
      </c>
      <c r="E4" s="4045" t="s">
        <v>2263</v>
      </c>
      <c r="F4" s="4046"/>
      <c r="G4" s="424">
        <v>2</v>
      </c>
      <c r="H4" s="413" t="s">
        <v>550</v>
      </c>
      <c r="I4" s="417" t="s">
        <v>3146</v>
      </c>
    </row>
    <row r="5" spans="2:9" ht="39.950000000000003" customHeight="1">
      <c r="B5" s="4035"/>
      <c r="C5" s="4036"/>
      <c r="D5" s="410" t="s">
        <v>4770</v>
      </c>
      <c r="E5" s="4030" t="s">
        <v>1761</v>
      </c>
      <c r="F5" s="4031"/>
      <c r="G5" s="425">
        <v>2</v>
      </c>
      <c r="H5" s="414" t="s">
        <v>103</v>
      </c>
      <c r="I5" s="418" t="s">
        <v>4007</v>
      </c>
    </row>
    <row r="6" spans="2:9" ht="39.950000000000003" customHeight="1">
      <c r="B6" s="4035"/>
      <c r="C6" s="4036"/>
      <c r="D6" s="411" t="s">
        <v>1638</v>
      </c>
      <c r="E6" s="4031" t="s">
        <v>3187</v>
      </c>
      <c r="F6" s="4044"/>
      <c r="G6" s="425">
        <v>1</v>
      </c>
      <c r="H6" s="414" t="s">
        <v>104</v>
      </c>
      <c r="I6" s="419" t="s">
        <v>3026</v>
      </c>
    </row>
    <row r="7" spans="2:9" ht="39.950000000000003" customHeight="1">
      <c r="B7" s="4035"/>
      <c r="C7" s="4036"/>
      <c r="D7" s="410" t="s">
        <v>1639</v>
      </c>
      <c r="E7" s="4030" t="s">
        <v>2466</v>
      </c>
      <c r="F7" s="4031"/>
      <c r="G7" s="425">
        <v>1</v>
      </c>
      <c r="H7" s="414" t="s">
        <v>105</v>
      </c>
      <c r="I7" s="419" t="s">
        <v>2349</v>
      </c>
    </row>
    <row r="8" spans="2:9" ht="39.950000000000003" customHeight="1">
      <c r="B8" s="4035"/>
      <c r="C8" s="4036"/>
      <c r="D8" s="410" t="s">
        <v>1639</v>
      </c>
      <c r="E8" s="4030" t="s">
        <v>1442</v>
      </c>
      <c r="F8" s="4031"/>
      <c r="G8" s="425">
        <v>3</v>
      </c>
      <c r="H8" s="414" t="s">
        <v>3975</v>
      </c>
      <c r="I8" s="419" t="s">
        <v>2206</v>
      </c>
    </row>
    <row r="9" spans="2:9" ht="39.950000000000003" customHeight="1">
      <c r="B9" s="4035"/>
      <c r="C9" s="4036"/>
      <c r="D9" s="410" t="s">
        <v>1639</v>
      </c>
      <c r="E9" s="4030" t="s">
        <v>4353</v>
      </c>
      <c r="F9" s="4031"/>
      <c r="G9" s="425">
        <v>3</v>
      </c>
      <c r="H9" s="414" t="s">
        <v>3976</v>
      </c>
      <c r="I9" s="421" t="s">
        <v>1354</v>
      </c>
    </row>
    <row r="10" spans="2:9" ht="39.950000000000003" customHeight="1">
      <c r="B10" s="4035"/>
      <c r="C10" s="4036"/>
      <c r="D10" s="410" t="s">
        <v>1639</v>
      </c>
      <c r="E10" s="4030" t="s">
        <v>4009</v>
      </c>
      <c r="F10" s="4031"/>
      <c r="G10" s="425">
        <v>1</v>
      </c>
      <c r="H10" s="414" t="s">
        <v>3977</v>
      </c>
      <c r="I10" s="419" t="s">
        <v>4218</v>
      </c>
    </row>
    <row r="11" spans="2:9" ht="39.950000000000003" customHeight="1">
      <c r="B11" s="4035"/>
      <c r="C11" s="4036"/>
      <c r="D11" s="410" t="s">
        <v>4294</v>
      </c>
      <c r="E11" s="4030" t="s">
        <v>2265</v>
      </c>
      <c r="F11" s="4031"/>
      <c r="G11" s="425">
        <v>1</v>
      </c>
      <c r="H11" s="414" t="s">
        <v>2123</v>
      </c>
      <c r="I11" s="421" t="s">
        <v>3901</v>
      </c>
    </row>
    <row r="12" spans="2:9" ht="39.950000000000003" customHeight="1">
      <c r="B12" s="4035"/>
      <c r="C12" s="4036"/>
      <c r="D12" s="410" t="s">
        <v>1638</v>
      </c>
      <c r="E12" s="4030" t="s">
        <v>2266</v>
      </c>
      <c r="F12" s="4031"/>
      <c r="G12" s="425">
        <v>0</v>
      </c>
      <c r="H12" s="414" t="s">
        <v>2630</v>
      </c>
      <c r="I12" s="419" t="s">
        <v>4447</v>
      </c>
    </row>
    <row r="13" spans="2:9" ht="39.950000000000003" customHeight="1">
      <c r="B13" s="4035"/>
      <c r="C13" s="4036"/>
      <c r="D13" s="410" t="s">
        <v>4295</v>
      </c>
      <c r="E13" s="4030" t="s">
        <v>3612</v>
      </c>
      <c r="F13" s="4031"/>
      <c r="G13" s="425">
        <v>1</v>
      </c>
      <c r="H13" s="414" t="s">
        <v>2122</v>
      </c>
      <c r="I13" s="419" t="s">
        <v>1524</v>
      </c>
    </row>
    <row r="14" spans="2:9" ht="39.950000000000003" customHeight="1">
      <c r="B14" s="4035"/>
      <c r="C14" s="4036"/>
      <c r="D14" s="410" t="s">
        <v>1639</v>
      </c>
      <c r="E14" s="4030" t="s">
        <v>3428</v>
      </c>
      <c r="F14" s="4031"/>
      <c r="G14" s="425">
        <v>2</v>
      </c>
      <c r="H14" s="414" t="s">
        <v>3583</v>
      </c>
      <c r="I14" s="419" t="s">
        <v>4084</v>
      </c>
    </row>
    <row r="15" spans="2:9" ht="39.950000000000003" customHeight="1">
      <c r="B15" s="4035"/>
      <c r="C15" s="4036"/>
      <c r="D15" s="410" t="s">
        <v>3505</v>
      </c>
      <c r="E15" s="4030" t="s">
        <v>2267</v>
      </c>
      <c r="F15" s="4031"/>
      <c r="G15" s="425">
        <v>0</v>
      </c>
      <c r="H15" s="414" t="s">
        <v>2630</v>
      </c>
      <c r="I15" s="419" t="s">
        <v>1376</v>
      </c>
    </row>
    <row r="16" spans="2:9" ht="39.950000000000003" customHeight="1">
      <c r="B16" s="4035"/>
      <c r="C16" s="4036"/>
      <c r="D16" s="410" t="s">
        <v>1638</v>
      </c>
      <c r="E16" s="4030" t="s">
        <v>3188</v>
      </c>
      <c r="F16" s="4031"/>
      <c r="G16" s="425">
        <v>2</v>
      </c>
      <c r="H16" s="414" t="s">
        <v>4829</v>
      </c>
      <c r="I16" s="419" t="s">
        <v>83</v>
      </c>
    </row>
    <row r="17" spans="2:9" ht="39.950000000000003" customHeight="1" thickBot="1">
      <c r="B17" s="4037"/>
      <c r="C17" s="4038"/>
      <c r="D17" s="412" t="s">
        <v>1639</v>
      </c>
      <c r="E17" s="4039" t="s">
        <v>4481</v>
      </c>
      <c r="F17" s="4040"/>
      <c r="G17" s="426">
        <v>1</v>
      </c>
      <c r="H17" s="415" t="s">
        <v>4830</v>
      </c>
      <c r="I17" s="422" t="s">
        <v>2543</v>
      </c>
    </row>
    <row r="18" spans="2:9" ht="21.75" customHeight="1" thickBot="1">
      <c r="D18" s="97"/>
      <c r="E18" s="97"/>
      <c r="F18" s="97"/>
      <c r="G18" s="423">
        <f>SUM(G4:G17)</f>
        <v>20</v>
      </c>
      <c r="H18" s="416"/>
      <c r="I18" s="97"/>
    </row>
  </sheetData>
  <mergeCells count="18">
    <mergeCell ref="G3:H3"/>
    <mergeCell ref="D3:F3"/>
    <mergeCell ref="E13:F13"/>
    <mergeCell ref="E14:F14"/>
    <mergeCell ref="E15:F15"/>
    <mergeCell ref="E5:F5"/>
    <mergeCell ref="E6:F6"/>
    <mergeCell ref="E4:F4"/>
    <mergeCell ref="E11:F11"/>
    <mergeCell ref="E12:F12"/>
    <mergeCell ref="E7:F7"/>
    <mergeCell ref="E8:F8"/>
    <mergeCell ref="E9:F9"/>
    <mergeCell ref="E10:F10"/>
    <mergeCell ref="B3:C3"/>
    <mergeCell ref="B4:C17"/>
    <mergeCell ref="E17:F17"/>
    <mergeCell ref="E16:F16"/>
  </mergeCells>
  <phoneticPr fontId="11" type="noConversion"/>
  <pageMargins left="0.75" right="0.75" top="1" bottom="1" header="0" footer="0"/>
  <pageSetup scale="74" orientation="landscape" horizontalDpi="120" verticalDpi="144" r:id="rId1"/>
  <headerFooter alignWithMargins="0"/>
</worksheet>
</file>

<file path=xl/worksheets/sheet29.xml><?xml version="1.0" encoding="utf-8"?>
<worksheet xmlns="http://schemas.openxmlformats.org/spreadsheetml/2006/main" xmlns:r="http://schemas.openxmlformats.org/officeDocument/2006/relationships">
  <sheetPr codeName="Hoja31"/>
  <dimension ref="B2:L46"/>
  <sheetViews>
    <sheetView workbookViewId="0"/>
  </sheetViews>
  <sheetFormatPr baseColWidth="10" defaultRowHeight="12.75"/>
  <cols>
    <col min="1" max="1" width="2.85546875" customWidth="1"/>
    <col min="2" max="2" width="4" style="8" bestFit="1" customWidth="1"/>
    <col min="3" max="3" width="14" style="8" customWidth="1"/>
    <col min="4" max="4" width="6.7109375" style="8" bestFit="1" customWidth="1"/>
    <col min="5" max="6" width="6" bestFit="1" customWidth="1"/>
    <col min="7" max="7" width="10.140625" style="22" bestFit="1" customWidth="1"/>
    <col min="8" max="8" width="13.42578125" style="8" customWidth="1"/>
  </cols>
  <sheetData>
    <row r="2" spans="2:12">
      <c r="C2" s="3811" t="s">
        <v>3076</v>
      </c>
      <c r="D2" s="3811"/>
      <c r="E2" s="3811"/>
      <c r="F2" s="3811"/>
      <c r="G2" s="3811"/>
      <c r="H2" s="3811"/>
      <c r="I2" s="3811"/>
      <c r="J2" s="3811"/>
      <c r="K2" s="3811"/>
    </row>
    <row r="3" spans="2:12">
      <c r="E3" s="8"/>
      <c r="F3" s="8"/>
      <c r="G3" s="8"/>
      <c r="I3" s="8"/>
      <c r="J3" s="8"/>
      <c r="K3" s="8"/>
    </row>
    <row r="4" spans="2:12">
      <c r="C4" s="20" t="s">
        <v>2749</v>
      </c>
      <c r="E4" s="8"/>
      <c r="F4" s="8"/>
      <c r="G4" s="8"/>
      <c r="I4" s="8"/>
      <c r="J4" s="8"/>
      <c r="K4" s="8"/>
    </row>
    <row r="5" spans="2:12">
      <c r="C5" s="21" t="s">
        <v>4096</v>
      </c>
      <c r="E5" s="8"/>
      <c r="F5" s="8"/>
      <c r="G5" s="8"/>
      <c r="I5" s="8"/>
      <c r="J5" s="8"/>
      <c r="K5" s="8"/>
    </row>
    <row r="6" spans="2:12" ht="14.25" thickBot="1">
      <c r="L6" s="23">
        <v>38936</v>
      </c>
    </row>
    <row r="7" spans="2:12">
      <c r="B7" s="4065" t="s">
        <v>4098</v>
      </c>
      <c r="C7" s="4058"/>
      <c r="D7" s="4058"/>
      <c r="E7" s="4058"/>
      <c r="F7" s="4058"/>
      <c r="G7" s="4058"/>
      <c r="H7" s="4058"/>
      <c r="I7" s="4058"/>
      <c r="J7" s="4058"/>
      <c r="K7" s="4058"/>
      <c r="L7" s="4066"/>
    </row>
    <row r="8" spans="2:12" ht="13.5" thickBot="1">
      <c r="B8" s="26" t="s">
        <v>4099</v>
      </c>
      <c r="C8" s="27" t="s">
        <v>1629</v>
      </c>
      <c r="D8" s="4048" t="s">
        <v>3591</v>
      </c>
      <c r="E8" s="4049"/>
      <c r="F8" s="27" t="s">
        <v>1630</v>
      </c>
      <c r="G8" s="4047" t="s">
        <v>1631</v>
      </c>
      <c r="H8" s="4047"/>
      <c r="I8" s="4047"/>
      <c r="J8" s="4047"/>
      <c r="K8" s="4047"/>
      <c r="L8" s="28" t="s">
        <v>4860</v>
      </c>
    </row>
    <row r="9" spans="2:12">
      <c r="B9" s="24">
        <v>1</v>
      </c>
      <c r="C9" s="25">
        <v>342</v>
      </c>
      <c r="D9" s="4058" t="s">
        <v>4861</v>
      </c>
      <c r="E9" s="4058"/>
      <c r="F9" s="29">
        <v>2</v>
      </c>
      <c r="G9" s="4056" t="s">
        <v>763</v>
      </c>
      <c r="H9" s="4057"/>
      <c r="I9" s="4057"/>
      <c r="J9" s="4057"/>
      <c r="K9" s="4057"/>
      <c r="L9" s="30"/>
    </row>
    <row r="10" spans="2:12">
      <c r="B10" s="31">
        <v>2</v>
      </c>
      <c r="C10" s="9">
        <v>338</v>
      </c>
      <c r="D10" s="4050" t="s">
        <v>2455</v>
      </c>
      <c r="E10" s="4050"/>
      <c r="F10" s="32">
        <v>2</v>
      </c>
      <c r="G10" s="4051" t="s">
        <v>763</v>
      </c>
      <c r="H10" s="4052"/>
      <c r="I10" s="4052"/>
      <c r="J10" s="4052"/>
      <c r="K10" s="4052"/>
      <c r="L10" s="33"/>
    </row>
    <row r="11" spans="2:12" ht="20.25">
      <c r="B11" s="31">
        <v>3</v>
      </c>
      <c r="C11" s="9">
        <v>343</v>
      </c>
      <c r="D11" s="4050" t="s">
        <v>764</v>
      </c>
      <c r="E11" s="4050"/>
      <c r="F11" s="32">
        <v>3</v>
      </c>
      <c r="G11" s="4051" t="s">
        <v>765</v>
      </c>
      <c r="H11" s="4052"/>
      <c r="I11" s="4052"/>
      <c r="J11" s="4052"/>
      <c r="K11" s="4052"/>
      <c r="L11" s="34">
        <v>3</v>
      </c>
    </row>
    <row r="12" spans="2:12" ht="20.25">
      <c r="B12" s="31">
        <v>4</v>
      </c>
      <c r="C12" s="9">
        <v>344</v>
      </c>
      <c r="D12" s="4050" t="s">
        <v>1878</v>
      </c>
      <c r="E12" s="4050"/>
      <c r="F12" s="32">
        <v>2</v>
      </c>
      <c r="G12" s="4051" t="s">
        <v>765</v>
      </c>
      <c r="H12" s="4052"/>
      <c r="I12" s="4052"/>
      <c r="J12" s="4052"/>
      <c r="K12" s="4052"/>
      <c r="L12" s="34">
        <v>4</v>
      </c>
    </row>
    <row r="13" spans="2:12" ht="20.25">
      <c r="B13" s="31">
        <v>5</v>
      </c>
      <c r="C13" s="9">
        <v>315</v>
      </c>
      <c r="D13" s="4050" t="s">
        <v>1879</v>
      </c>
      <c r="E13" s="4050"/>
      <c r="F13" s="32">
        <v>3</v>
      </c>
      <c r="G13" s="4051" t="s">
        <v>2764</v>
      </c>
      <c r="H13" s="4052"/>
      <c r="I13" s="4052"/>
      <c r="J13" s="4052"/>
      <c r="K13" s="4052"/>
      <c r="L13" s="34">
        <v>5</v>
      </c>
    </row>
    <row r="14" spans="2:12" ht="21" thickBot="1">
      <c r="B14" s="26">
        <v>6</v>
      </c>
      <c r="C14" s="27">
        <v>324</v>
      </c>
      <c r="D14" s="4064" t="s">
        <v>2765</v>
      </c>
      <c r="E14" s="4064"/>
      <c r="F14" s="35">
        <v>3</v>
      </c>
      <c r="G14" s="4060" t="s">
        <v>765</v>
      </c>
      <c r="H14" s="4061"/>
      <c r="I14" s="4061"/>
      <c r="J14" s="4061"/>
      <c r="K14" s="4061"/>
      <c r="L14" s="36">
        <v>6</v>
      </c>
    </row>
    <row r="15" spans="2:12" ht="3" customHeight="1" thickBot="1">
      <c r="B15" s="37"/>
      <c r="C15" s="38"/>
      <c r="D15" s="38"/>
      <c r="E15" s="38"/>
      <c r="F15" s="39"/>
      <c r="G15" s="40"/>
      <c r="H15" s="41"/>
      <c r="I15" s="41"/>
      <c r="J15" s="41"/>
      <c r="K15" s="41"/>
      <c r="L15" s="42"/>
    </row>
    <row r="16" spans="2:12">
      <c r="B16" s="4065" t="s">
        <v>2981</v>
      </c>
      <c r="C16" s="4058"/>
      <c r="D16" s="4058"/>
      <c r="E16" s="4058"/>
      <c r="F16" s="4058"/>
      <c r="G16" s="4058"/>
      <c r="H16" s="4058"/>
      <c r="I16" s="4058"/>
      <c r="J16" s="4058"/>
      <c r="K16" s="4058"/>
      <c r="L16" s="4066"/>
    </row>
    <row r="17" spans="2:12" ht="13.5" thickBot="1">
      <c r="B17" s="26" t="s">
        <v>4099</v>
      </c>
      <c r="C17" s="27" t="s">
        <v>1629</v>
      </c>
      <c r="D17" s="4048" t="s">
        <v>3591</v>
      </c>
      <c r="E17" s="4049"/>
      <c r="F17" s="27" t="s">
        <v>1630</v>
      </c>
      <c r="G17" s="4047" t="s">
        <v>1631</v>
      </c>
      <c r="H17" s="4047"/>
      <c r="I17" s="4047"/>
      <c r="J17" s="4047"/>
      <c r="K17" s="4047"/>
      <c r="L17" s="28" t="s">
        <v>4860</v>
      </c>
    </row>
    <row r="18" spans="2:12">
      <c r="B18" s="24">
        <v>7</v>
      </c>
      <c r="C18" s="25">
        <v>335</v>
      </c>
      <c r="D18" s="4058" t="s">
        <v>2982</v>
      </c>
      <c r="E18" s="4058"/>
      <c r="F18" s="29">
        <v>2</v>
      </c>
      <c r="G18" s="4056" t="s">
        <v>763</v>
      </c>
      <c r="H18" s="4057"/>
      <c r="I18" s="4057"/>
      <c r="J18" s="4057"/>
      <c r="K18" s="4057"/>
      <c r="L18" s="30"/>
    </row>
    <row r="19" spans="2:12">
      <c r="B19" s="31">
        <v>8</v>
      </c>
      <c r="C19" s="9">
        <v>334</v>
      </c>
      <c r="D19" s="4050" t="s">
        <v>2423</v>
      </c>
      <c r="E19" s="4050"/>
      <c r="F19" s="32">
        <v>2</v>
      </c>
      <c r="G19" s="4051" t="s">
        <v>763</v>
      </c>
      <c r="H19" s="4052"/>
      <c r="I19" s="4052"/>
      <c r="J19" s="4052"/>
      <c r="K19" s="4052"/>
      <c r="L19" s="33"/>
    </row>
    <row r="20" spans="2:12" ht="20.25">
      <c r="B20" s="31">
        <v>9</v>
      </c>
      <c r="C20" s="9">
        <v>332</v>
      </c>
      <c r="D20" s="4050" t="s">
        <v>248</v>
      </c>
      <c r="E20" s="4050"/>
      <c r="F20" s="32">
        <v>2</v>
      </c>
      <c r="G20" s="4053" t="s">
        <v>1683</v>
      </c>
      <c r="H20" s="4053"/>
      <c r="I20" s="4053"/>
      <c r="J20" s="4053"/>
      <c r="K20" s="4053"/>
      <c r="L20" s="34">
        <v>1</v>
      </c>
    </row>
    <row r="21" spans="2:12" ht="20.25">
      <c r="B21" s="31">
        <v>10</v>
      </c>
      <c r="C21" s="9">
        <v>302</v>
      </c>
      <c r="D21" s="4050" t="s">
        <v>1684</v>
      </c>
      <c r="E21" s="4050"/>
      <c r="F21" s="32">
        <v>3</v>
      </c>
      <c r="G21" s="4051" t="s">
        <v>765</v>
      </c>
      <c r="H21" s="4052"/>
      <c r="I21" s="4052"/>
      <c r="J21" s="4052"/>
      <c r="K21" s="4052"/>
      <c r="L21" s="34">
        <v>2</v>
      </c>
    </row>
    <row r="22" spans="2:12">
      <c r="B22" s="31">
        <v>11</v>
      </c>
      <c r="C22" s="9">
        <v>339</v>
      </c>
      <c r="D22" s="4050" t="s">
        <v>1583</v>
      </c>
      <c r="E22" s="4050"/>
      <c r="F22" s="32">
        <v>2</v>
      </c>
      <c r="G22" s="4051" t="s">
        <v>3531</v>
      </c>
      <c r="H22" s="4052"/>
      <c r="I22" s="4052"/>
      <c r="J22" s="4052"/>
      <c r="K22" s="4052"/>
      <c r="L22" s="33"/>
    </row>
    <row r="23" spans="2:12" ht="13.5" thickBot="1">
      <c r="B23" s="26">
        <v>12</v>
      </c>
      <c r="C23" s="27">
        <v>308</v>
      </c>
      <c r="D23" s="4064" t="s">
        <v>3532</v>
      </c>
      <c r="E23" s="4064"/>
      <c r="F23" s="35">
        <v>3</v>
      </c>
      <c r="G23" s="4060" t="s">
        <v>3533</v>
      </c>
      <c r="H23" s="4061"/>
      <c r="I23" s="4061"/>
      <c r="J23" s="4061"/>
      <c r="K23" s="4061"/>
      <c r="L23" s="43"/>
    </row>
    <row r="24" spans="2:12">
      <c r="D24" s="3811"/>
      <c r="E24" s="3811"/>
      <c r="F24" s="44"/>
      <c r="G24" s="4062"/>
      <c r="H24" s="4063"/>
      <c r="I24" s="4063"/>
      <c r="J24" s="4063"/>
      <c r="K24" s="4063"/>
    </row>
    <row r="29" spans="2:12" ht="15">
      <c r="B29" s="4059" t="s">
        <v>3022</v>
      </c>
      <c r="C29" s="4059"/>
      <c r="D29" s="4059"/>
      <c r="E29" s="4059"/>
      <c r="F29" s="4059"/>
      <c r="G29" s="4059"/>
      <c r="H29" s="4059"/>
    </row>
    <row r="30" spans="2:12" ht="13.5" thickBot="1"/>
    <row r="31" spans="2:12" ht="27.6" customHeight="1" thickBot="1">
      <c r="B31" s="45" t="s">
        <v>761</v>
      </c>
      <c r="C31" s="46" t="s">
        <v>762</v>
      </c>
      <c r="D31" s="47" t="s">
        <v>1629</v>
      </c>
      <c r="E31" s="48" t="s">
        <v>4043</v>
      </c>
      <c r="F31" s="48" t="s">
        <v>158</v>
      </c>
      <c r="G31" s="49" t="s">
        <v>159</v>
      </c>
      <c r="H31" s="50" t="s">
        <v>160</v>
      </c>
    </row>
    <row r="32" spans="2:12" ht="16.5" customHeight="1" thickTop="1">
      <c r="B32" s="51">
        <v>1</v>
      </c>
      <c r="C32" s="52">
        <v>38835</v>
      </c>
      <c r="D32" s="53">
        <v>152</v>
      </c>
      <c r="E32" s="54"/>
      <c r="F32" s="54"/>
      <c r="G32" s="55">
        <v>101</v>
      </c>
      <c r="H32" s="56" t="s">
        <v>161</v>
      </c>
      <c r="J32" s="427" t="s">
        <v>3747</v>
      </c>
    </row>
    <row r="33" spans="2:10" ht="16.5" customHeight="1">
      <c r="B33" s="57">
        <f>1+B32</f>
        <v>2</v>
      </c>
      <c r="C33" s="58">
        <v>38835</v>
      </c>
      <c r="D33" s="9">
        <v>153</v>
      </c>
      <c r="E33" s="7"/>
      <c r="F33" s="7"/>
      <c r="G33" s="59">
        <v>203</v>
      </c>
      <c r="H33" s="60" t="s">
        <v>161</v>
      </c>
      <c r="J33" s="427" t="s">
        <v>351</v>
      </c>
    </row>
    <row r="34" spans="2:10" ht="16.5" customHeight="1">
      <c r="B34" s="57">
        <f t="shared" ref="B34:B45" si="0">1+B33</f>
        <v>3</v>
      </c>
      <c r="C34" s="58">
        <v>38835</v>
      </c>
      <c r="D34" s="9">
        <v>157</v>
      </c>
      <c r="E34" s="7"/>
      <c r="F34" s="7"/>
      <c r="G34" s="59">
        <v>114</v>
      </c>
      <c r="H34" s="60" t="s">
        <v>161</v>
      </c>
      <c r="J34" s="427" t="s">
        <v>2420</v>
      </c>
    </row>
    <row r="35" spans="2:10" ht="16.5" customHeight="1">
      <c r="B35" s="57">
        <f t="shared" si="0"/>
        <v>4</v>
      </c>
      <c r="C35" s="58">
        <v>38835</v>
      </c>
      <c r="D35" s="9">
        <v>158</v>
      </c>
      <c r="E35" s="7"/>
      <c r="F35" s="7"/>
      <c r="G35" s="59">
        <v>196</v>
      </c>
      <c r="H35" s="60" t="s">
        <v>161</v>
      </c>
    </row>
    <row r="36" spans="2:10" ht="16.5" customHeight="1">
      <c r="B36" s="57">
        <f t="shared" si="0"/>
        <v>5</v>
      </c>
      <c r="C36" s="58">
        <v>38835</v>
      </c>
      <c r="D36" s="9">
        <v>162</v>
      </c>
      <c r="E36" s="7"/>
      <c r="F36" s="7"/>
      <c r="G36" s="59">
        <v>201</v>
      </c>
      <c r="H36" s="60" t="s">
        <v>161</v>
      </c>
    </row>
    <row r="37" spans="2:10" ht="16.5" customHeight="1">
      <c r="B37" s="57">
        <f t="shared" si="0"/>
        <v>6</v>
      </c>
      <c r="C37" s="58">
        <v>38835</v>
      </c>
      <c r="D37" s="9">
        <v>163</v>
      </c>
      <c r="E37" s="7"/>
      <c r="F37" s="7"/>
      <c r="G37" s="59">
        <v>204.9</v>
      </c>
      <c r="H37" s="60" t="s">
        <v>161</v>
      </c>
    </row>
    <row r="38" spans="2:10" ht="16.5" customHeight="1">
      <c r="B38" s="57">
        <f t="shared" si="0"/>
        <v>7</v>
      </c>
      <c r="C38" s="58">
        <v>38835</v>
      </c>
      <c r="D38" s="9">
        <v>164</v>
      </c>
      <c r="E38" s="7"/>
      <c r="F38" s="7"/>
      <c r="G38" s="59">
        <v>187</v>
      </c>
      <c r="H38" s="60" t="s">
        <v>161</v>
      </c>
    </row>
    <row r="39" spans="2:10" ht="16.5" customHeight="1">
      <c r="B39" s="57">
        <f t="shared" si="0"/>
        <v>8</v>
      </c>
      <c r="C39" s="58">
        <v>38835</v>
      </c>
      <c r="D39" s="9">
        <v>165</v>
      </c>
      <c r="E39" s="7"/>
      <c r="F39" s="7"/>
      <c r="G39" s="59">
        <v>198</v>
      </c>
      <c r="H39" s="60" t="s">
        <v>161</v>
      </c>
    </row>
    <row r="40" spans="2:10" ht="16.5" customHeight="1">
      <c r="B40" s="57">
        <f t="shared" si="0"/>
        <v>9</v>
      </c>
      <c r="C40" s="58">
        <v>38835</v>
      </c>
      <c r="D40" s="9">
        <v>169</v>
      </c>
      <c r="E40" s="7"/>
      <c r="F40" s="7"/>
      <c r="G40" s="59">
        <v>159.69999999999999</v>
      </c>
      <c r="H40" s="60" t="s">
        <v>161</v>
      </c>
    </row>
    <row r="41" spans="2:10" ht="16.5" customHeight="1" thickBot="1">
      <c r="B41" s="61">
        <f t="shared" si="0"/>
        <v>10</v>
      </c>
      <c r="C41" s="62">
        <v>38835</v>
      </c>
      <c r="D41" s="27">
        <v>170</v>
      </c>
      <c r="E41" s="63"/>
      <c r="F41" s="63"/>
      <c r="G41" s="64">
        <v>192.8</v>
      </c>
      <c r="H41" s="65" t="s">
        <v>161</v>
      </c>
    </row>
    <row r="42" spans="2:10" ht="16.5" customHeight="1">
      <c r="B42" s="51">
        <f t="shared" si="0"/>
        <v>11</v>
      </c>
      <c r="C42" s="52">
        <v>38836</v>
      </c>
      <c r="D42" s="53">
        <v>159</v>
      </c>
      <c r="E42" s="54">
        <v>96.5</v>
      </c>
      <c r="F42" s="54"/>
      <c r="G42" s="55">
        <f>+F42+E42</f>
        <v>96.5</v>
      </c>
      <c r="H42" s="56" t="s">
        <v>162</v>
      </c>
    </row>
    <row r="43" spans="2:10" ht="16.5" customHeight="1">
      <c r="B43" s="57">
        <f t="shared" si="0"/>
        <v>12</v>
      </c>
      <c r="C43" s="58">
        <v>38836</v>
      </c>
      <c r="D43" s="9">
        <v>160</v>
      </c>
      <c r="E43" s="7">
        <v>108.5</v>
      </c>
      <c r="F43" s="7">
        <v>52.5</v>
      </c>
      <c r="G43" s="59">
        <f>+F43+E43</f>
        <v>161</v>
      </c>
      <c r="H43" s="60" t="s">
        <v>162</v>
      </c>
    </row>
    <row r="44" spans="2:10" ht="16.5" customHeight="1">
      <c r="B44" s="57">
        <f t="shared" si="0"/>
        <v>13</v>
      </c>
      <c r="C44" s="58">
        <v>38836</v>
      </c>
      <c r="D44" s="9">
        <v>166</v>
      </c>
      <c r="E44" s="7">
        <v>102.7</v>
      </c>
      <c r="F44" s="7">
        <v>91.3</v>
      </c>
      <c r="G44" s="59">
        <f>+F44+E44</f>
        <v>194</v>
      </c>
      <c r="H44" s="60" t="s">
        <v>162</v>
      </c>
    </row>
    <row r="45" spans="2:10" ht="16.5" customHeight="1" thickBot="1">
      <c r="B45" s="61">
        <f t="shared" si="0"/>
        <v>14</v>
      </c>
      <c r="C45" s="62">
        <v>38836</v>
      </c>
      <c r="D45" s="27">
        <v>167</v>
      </c>
      <c r="E45" s="63">
        <v>103.7</v>
      </c>
      <c r="F45" s="63">
        <v>100.3</v>
      </c>
      <c r="G45" s="64">
        <f>+F45+E45</f>
        <v>204</v>
      </c>
      <c r="H45" s="65" t="s">
        <v>162</v>
      </c>
    </row>
    <row r="46" spans="2:10" ht="21.6" customHeight="1" thickBot="1">
      <c r="C46" s="66"/>
      <c r="D46" s="4054" t="s">
        <v>2569</v>
      </c>
      <c r="E46" s="4055"/>
      <c r="F46" s="4055"/>
      <c r="G46" s="67">
        <f>SUM(G32:G45)</f>
        <v>2412.9</v>
      </c>
    </row>
  </sheetData>
  <mergeCells count="35">
    <mergeCell ref="C2:K2"/>
    <mergeCell ref="B7:L7"/>
    <mergeCell ref="G8:K8"/>
    <mergeCell ref="G13:K13"/>
    <mergeCell ref="G9:K9"/>
    <mergeCell ref="G10:K10"/>
    <mergeCell ref="G11:K11"/>
    <mergeCell ref="B16:L16"/>
    <mergeCell ref="D8:E8"/>
    <mergeCell ref="D9:E9"/>
    <mergeCell ref="D10:E10"/>
    <mergeCell ref="D11:E11"/>
    <mergeCell ref="D13:E13"/>
    <mergeCell ref="D14:E14"/>
    <mergeCell ref="G14:K14"/>
    <mergeCell ref="D12:E12"/>
    <mergeCell ref="G12:K12"/>
    <mergeCell ref="D46:F46"/>
    <mergeCell ref="D24:E24"/>
    <mergeCell ref="G18:K18"/>
    <mergeCell ref="D20:E20"/>
    <mergeCell ref="D18:E18"/>
    <mergeCell ref="B29:H29"/>
    <mergeCell ref="G22:K22"/>
    <mergeCell ref="G23:K23"/>
    <mergeCell ref="G24:K24"/>
    <mergeCell ref="D23:E23"/>
    <mergeCell ref="D22:E22"/>
    <mergeCell ref="G17:K17"/>
    <mergeCell ref="D17:E17"/>
    <mergeCell ref="D19:E19"/>
    <mergeCell ref="D21:E21"/>
    <mergeCell ref="G19:K19"/>
    <mergeCell ref="G20:K20"/>
    <mergeCell ref="G21:K21"/>
  </mergeCells>
  <phoneticPr fontId="0" type="noConversion"/>
  <printOptions horizontalCentered="1"/>
  <pageMargins left="0.75" right="0.75" top="0.39370078740157483" bottom="1" header="0" footer="0"/>
  <pageSetup scale="130" orientation="landscape" horizontalDpi="120" verticalDpi="144" r:id="rId1"/>
  <headerFooter alignWithMargins="0"/>
</worksheet>
</file>

<file path=xl/worksheets/sheet3.xml><?xml version="1.0" encoding="utf-8"?>
<worksheet xmlns="http://schemas.openxmlformats.org/spreadsheetml/2006/main" xmlns:r="http://schemas.openxmlformats.org/officeDocument/2006/relationships">
  <sheetPr codeName="Hoja8">
    <pageSetUpPr fitToPage="1"/>
  </sheetPr>
  <dimension ref="C2:L49"/>
  <sheetViews>
    <sheetView workbookViewId="0"/>
  </sheetViews>
  <sheetFormatPr baseColWidth="10" defaultRowHeight="15"/>
  <cols>
    <col min="1" max="2" width="5.7109375" customWidth="1"/>
    <col min="3" max="3" width="15.7109375" style="98" customWidth="1"/>
    <col min="4" max="7" width="15.7109375" customWidth="1"/>
    <col min="8" max="9" width="15.7109375" style="98" customWidth="1"/>
    <col min="10" max="10" width="15.7109375" customWidth="1"/>
  </cols>
  <sheetData>
    <row r="2" spans="3:12" ht="20.25">
      <c r="C2" s="2692" t="s">
        <v>5156</v>
      </c>
      <c r="H2" s="2396">
        <v>2018</v>
      </c>
      <c r="I2" s="2396"/>
    </row>
    <row r="3" spans="3:12" ht="18">
      <c r="C3" s="3763">
        <v>43021</v>
      </c>
      <c r="D3" s="3763"/>
      <c r="H3" s="2396">
        <v>15</v>
      </c>
      <c r="I3" s="2396" t="s">
        <v>5158</v>
      </c>
    </row>
    <row r="4" spans="3:12">
      <c r="H4" s="2396">
        <f>+H2-H3</f>
        <v>2003</v>
      </c>
      <c r="I4" s="2396" t="s">
        <v>5157</v>
      </c>
    </row>
    <row r="6" spans="3:12" ht="15.75">
      <c r="C6" s="2677" t="s">
        <v>1629</v>
      </c>
      <c r="D6" s="2678" t="s">
        <v>3591</v>
      </c>
      <c r="E6" s="2678" t="s">
        <v>371</v>
      </c>
      <c r="F6" s="2678" t="s">
        <v>5007</v>
      </c>
      <c r="G6" s="2678" t="s">
        <v>3231</v>
      </c>
      <c r="H6" s="2679" t="s">
        <v>5136</v>
      </c>
      <c r="I6" s="2679" t="s">
        <v>5142</v>
      </c>
      <c r="J6" s="2678" t="s">
        <v>5137</v>
      </c>
    </row>
    <row r="7" spans="3:12" ht="15.75">
      <c r="C7" s="2676">
        <v>174</v>
      </c>
      <c r="D7" s="2683" t="s">
        <v>5077</v>
      </c>
      <c r="E7" s="2680" t="s">
        <v>5154</v>
      </c>
      <c r="F7" s="2680" t="s">
        <v>206</v>
      </c>
      <c r="G7" s="2674">
        <v>3</v>
      </c>
      <c r="H7" s="2676">
        <v>2008</v>
      </c>
      <c r="I7" s="2676" t="s">
        <v>5143</v>
      </c>
      <c r="J7" s="2675">
        <v>42178</v>
      </c>
      <c r="K7" s="2396"/>
    </row>
    <row r="8" spans="3:12" ht="15.75">
      <c r="C8" s="2676">
        <v>173</v>
      </c>
      <c r="D8" s="2683" t="s">
        <v>5076</v>
      </c>
      <c r="E8" s="2680" t="s">
        <v>5154</v>
      </c>
      <c r="F8" s="2680" t="s">
        <v>206</v>
      </c>
      <c r="G8" s="2674">
        <v>3</v>
      </c>
      <c r="H8" s="2676">
        <v>2008</v>
      </c>
      <c r="I8" s="2676" t="s">
        <v>5143</v>
      </c>
      <c r="J8" s="2675">
        <v>42201</v>
      </c>
      <c r="K8" s="2396"/>
    </row>
    <row r="9" spans="3:12" ht="15.75">
      <c r="C9" s="2685">
        <v>172</v>
      </c>
      <c r="D9" s="2686" t="s">
        <v>5075</v>
      </c>
      <c r="E9" s="2687" t="s">
        <v>5154</v>
      </c>
      <c r="F9" s="2687" t="s">
        <v>206</v>
      </c>
      <c r="G9" s="2688">
        <v>3</v>
      </c>
      <c r="H9" s="2685">
        <v>2008</v>
      </c>
      <c r="I9" s="2685" t="s">
        <v>3543</v>
      </c>
      <c r="J9" s="2689">
        <v>40184</v>
      </c>
      <c r="K9" s="2690" t="s">
        <v>5150</v>
      </c>
      <c r="L9" s="2691" t="s">
        <v>5155</v>
      </c>
    </row>
    <row r="10" spans="3:12" ht="15.75">
      <c r="C10" s="2676">
        <v>171</v>
      </c>
      <c r="D10" s="2683" t="s">
        <v>5074</v>
      </c>
      <c r="E10" s="2680" t="s">
        <v>5154</v>
      </c>
      <c r="F10" s="2680" t="s">
        <v>206</v>
      </c>
      <c r="G10" s="2674">
        <v>3</v>
      </c>
      <c r="H10" s="2676">
        <v>2015</v>
      </c>
      <c r="I10" s="2676" t="s">
        <v>3543</v>
      </c>
      <c r="J10" s="2675">
        <v>42577</v>
      </c>
      <c r="K10" s="2396" t="s">
        <v>5150</v>
      </c>
    </row>
    <row r="11" spans="3:12" ht="15.75">
      <c r="C11" s="2676"/>
      <c r="D11" s="2683"/>
      <c r="E11" s="2674"/>
      <c r="F11" s="2674"/>
      <c r="G11" s="2674"/>
      <c r="H11" s="2676"/>
      <c r="I11" s="2676"/>
      <c r="J11" s="2674"/>
    </row>
    <row r="13" spans="3:12" ht="15.75">
      <c r="C13" s="2677" t="s">
        <v>1629</v>
      </c>
      <c r="D13" s="2678" t="s">
        <v>3591</v>
      </c>
      <c r="E13" s="2678" t="s">
        <v>371</v>
      </c>
      <c r="F13" s="2678" t="s">
        <v>5007</v>
      </c>
      <c r="G13" s="2678" t="s">
        <v>3231</v>
      </c>
      <c r="H13" s="2679" t="s">
        <v>5136</v>
      </c>
      <c r="I13" s="2679" t="s">
        <v>5142</v>
      </c>
      <c r="J13" s="2678" t="s">
        <v>5137</v>
      </c>
    </row>
    <row r="14" spans="3:12" ht="12.75" customHeight="1">
      <c r="C14" s="2676">
        <v>363</v>
      </c>
      <c r="D14" s="2683" t="s">
        <v>5134</v>
      </c>
      <c r="E14" s="2674" t="s">
        <v>5135</v>
      </c>
      <c r="F14" s="2674" t="s">
        <v>3795</v>
      </c>
      <c r="G14" s="2674">
        <v>3</v>
      </c>
      <c r="H14" s="2676">
        <v>2017</v>
      </c>
      <c r="I14" s="2676" t="s">
        <v>3543</v>
      </c>
      <c r="J14" s="2675">
        <v>43004</v>
      </c>
    </row>
    <row r="15" spans="3:12" ht="15.75">
      <c r="C15" s="2685">
        <v>359</v>
      </c>
      <c r="D15" s="2686" t="s">
        <v>5141</v>
      </c>
      <c r="E15" s="2687" t="s">
        <v>5135</v>
      </c>
      <c r="F15" s="2687" t="s">
        <v>3795</v>
      </c>
      <c r="G15" s="2688">
        <v>3</v>
      </c>
      <c r="H15" s="2685">
        <v>2017</v>
      </c>
      <c r="I15" s="2685" t="s">
        <v>3543</v>
      </c>
      <c r="J15" s="2689">
        <v>42760</v>
      </c>
      <c r="K15" s="2639"/>
      <c r="L15" s="2691" t="s">
        <v>5155</v>
      </c>
    </row>
    <row r="16" spans="3:12" ht="15.75">
      <c r="C16" s="2685">
        <v>360</v>
      </c>
      <c r="D16" s="2686" t="s">
        <v>5140</v>
      </c>
      <c r="E16" s="2687" t="s">
        <v>5135</v>
      </c>
      <c r="F16" s="2687" t="s">
        <v>3795</v>
      </c>
      <c r="G16" s="2688">
        <v>3</v>
      </c>
      <c r="H16" s="2685">
        <v>2017</v>
      </c>
      <c r="I16" s="2685" t="s">
        <v>3543</v>
      </c>
      <c r="J16" s="2689">
        <v>42760</v>
      </c>
      <c r="K16" s="2639"/>
      <c r="L16" s="2691" t="s">
        <v>5155</v>
      </c>
    </row>
    <row r="17" spans="3:12" ht="15.75">
      <c r="C17" s="2676">
        <v>362</v>
      </c>
      <c r="D17" s="2683" t="s">
        <v>5138</v>
      </c>
      <c r="E17" s="2680" t="s">
        <v>5135</v>
      </c>
      <c r="F17" s="2680" t="s">
        <v>3795</v>
      </c>
      <c r="G17" s="2674">
        <v>3</v>
      </c>
      <c r="H17" s="2676">
        <v>2015</v>
      </c>
      <c r="I17" s="2676" t="s">
        <v>5143</v>
      </c>
      <c r="J17" s="2675">
        <v>42886</v>
      </c>
    </row>
    <row r="18" spans="3:12" ht="15.75">
      <c r="C18" s="2676">
        <v>361</v>
      </c>
      <c r="D18" s="2683" t="s">
        <v>5139</v>
      </c>
      <c r="E18" s="2680" t="s">
        <v>5135</v>
      </c>
      <c r="F18" s="2680" t="s">
        <v>3795</v>
      </c>
      <c r="G18" s="2674">
        <v>3</v>
      </c>
      <c r="H18" s="2676">
        <v>2015</v>
      </c>
      <c r="I18" s="2676" t="s">
        <v>5143</v>
      </c>
      <c r="J18" s="2675">
        <v>42884</v>
      </c>
    </row>
    <row r="19" spans="3:12" ht="15.75">
      <c r="C19" s="2676">
        <v>357</v>
      </c>
      <c r="D19" s="2683" t="s">
        <v>2271</v>
      </c>
      <c r="E19" s="2680" t="s">
        <v>5135</v>
      </c>
      <c r="F19" s="2680" t="s">
        <v>3795</v>
      </c>
      <c r="G19" s="2674">
        <v>3</v>
      </c>
      <c r="H19" s="2676">
        <v>2008</v>
      </c>
      <c r="I19" s="2676" t="s">
        <v>3543</v>
      </c>
      <c r="J19" s="2675">
        <v>42930</v>
      </c>
    </row>
    <row r="20" spans="3:12">
      <c r="C20" s="2681">
        <v>358</v>
      </c>
      <c r="D20" s="2684" t="s">
        <v>5144</v>
      </c>
      <c r="E20" s="2681" t="s">
        <v>5135</v>
      </c>
      <c r="F20" s="2681" t="s">
        <v>3795</v>
      </c>
      <c r="G20" s="2681">
        <v>3</v>
      </c>
      <c r="H20" s="2681">
        <v>1996</v>
      </c>
      <c r="I20" s="2681" t="s">
        <v>5145</v>
      </c>
      <c r="J20" s="2682">
        <v>42510</v>
      </c>
    </row>
    <row r="21" spans="3:12">
      <c r="C21" s="2681">
        <v>356</v>
      </c>
      <c r="D21" s="2684" t="s">
        <v>5146</v>
      </c>
      <c r="E21" s="2681" t="s">
        <v>5147</v>
      </c>
      <c r="F21" s="2681" t="s">
        <v>3795</v>
      </c>
      <c r="G21" s="2681">
        <v>2</v>
      </c>
      <c r="H21" s="2681">
        <v>1996</v>
      </c>
      <c r="I21" s="2681" t="s">
        <v>3543</v>
      </c>
      <c r="J21" s="2682">
        <v>41558</v>
      </c>
    </row>
    <row r="22" spans="3:12">
      <c r="C22" s="2681">
        <v>344</v>
      </c>
      <c r="D22" s="2684" t="s">
        <v>4432</v>
      </c>
      <c r="E22" s="2681" t="s">
        <v>5135</v>
      </c>
      <c r="F22" s="2681" t="s">
        <v>3795</v>
      </c>
      <c r="G22" s="2681">
        <v>3</v>
      </c>
      <c r="H22" s="2681">
        <v>1981</v>
      </c>
      <c r="I22" s="2681" t="s">
        <v>3543</v>
      </c>
      <c r="J22" s="2682">
        <v>42725</v>
      </c>
    </row>
    <row r="23" spans="3:12">
      <c r="C23" s="2676"/>
      <c r="D23" s="2680"/>
      <c r="E23" s="2674"/>
      <c r="F23" s="2674"/>
      <c r="G23" s="2674"/>
      <c r="H23" s="2676"/>
      <c r="I23" s="2676"/>
      <c r="J23" s="2674"/>
    </row>
    <row r="24" spans="3:12" ht="15.75">
      <c r="C24" s="2677" t="s">
        <v>1629</v>
      </c>
      <c r="D24" s="2678" t="s">
        <v>3591</v>
      </c>
      <c r="E24" s="2678" t="s">
        <v>371</v>
      </c>
      <c r="F24" s="2678" t="s">
        <v>5007</v>
      </c>
      <c r="G24" s="2678" t="s">
        <v>3231</v>
      </c>
      <c r="H24" s="2679" t="s">
        <v>5136</v>
      </c>
      <c r="I24" s="2679" t="s">
        <v>5142</v>
      </c>
      <c r="J24" s="2678" t="s">
        <v>5137</v>
      </c>
    </row>
    <row r="25" spans="3:12" ht="15.75">
      <c r="C25" s="2685">
        <v>237</v>
      </c>
      <c r="D25" s="2686" t="s">
        <v>5148</v>
      </c>
      <c r="E25" s="2687" t="s">
        <v>5135</v>
      </c>
      <c r="F25" s="2687" t="s">
        <v>5149</v>
      </c>
      <c r="G25" s="2688">
        <v>3</v>
      </c>
      <c r="H25" s="2685">
        <v>2016</v>
      </c>
      <c r="I25" s="2685" t="s">
        <v>3543</v>
      </c>
      <c r="J25" s="2689">
        <v>42795</v>
      </c>
      <c r="K25" s="2690" t="s">
        <v>5150</v>
      </c>
      <c r="L25" s="2691" t="s">
        <v>5155</v>
      </c>
    </row>
    <row r="26" spans="3:12" ht="15.75">
      <c r="C26" s="2676">
        <v>236</v>
      </c>
      <c r="D26" s="2683" t="s">
        <v>5151</v>
      </c>
      <c r="E26" s="2680" t="s">
        <v>5135</v>
      </c>
      <c r="F26" s="2680" t="s">
        <v>5152</v>
      </c>
      <c r="G26" s="2674">
        <v>3</v>
      </c>
      <c r="H26" s="2676">
        <v>2016</v>
      </c>
      <c r="I26" s="2676" t="s">
        <v>3543</v>
      </c>
      <c r="J26" s="2675">
        <v>42578</v>
      </c>
      <c r="K26" s="2396" t="s">
        <v>5150</v>
      </c>
    </row>
    <row r="27" spans="3:12">
      <c r="C27" s="2681">
        <v>235</v>
      </c>
      <c r="D27" s="2684" t="s">
        <v>1316</v>
      </c>
      <c r="E27" s="2681" t="s">
        <v>5135</v>
      </c>
      <c r="F27" s="2681" t="s">
        <v>468</v>
      </c>
      <c r="G27" s="2681">
        <v>3</v>
      </c>
      <c r="H27" s="2681">
        <v>1999</v>
      </c>
      <c r="I27" s="2681" t="s">
        <v>3543</v>
      </c>
      <c r="J27" s="2682">
        <v>42508</v>
      </c>
    </row>
    <row r="28" spans="3:12">
      <c r="C28" s="2681">
        <v>234</v>
      </c>
      <c r="D28" s="2684" t="s">
        <v>5153</v>
      </c>
      <c r="E28" s="2681" t="s">
        <v>5147</v>
      </c>
      <c r="F28" s="2681" t="s">
        <v>468</v>
      </c>
      <c r="G28" s="2681">
        <v>3</v>
      </c>
      <c r="H28" s="2681">
        <v>1999</v>
      </c>
      <c r="I28" s="2681" t="s">
        <v>3543</v>
      </c>
      <c r="J28" s="2682">
        <v>41620</v>
      </c>
    </row>
    <row r="29" spans="3:12" ht="15.75">
      <c r="C29" s="2676"/>
      <c r="D29" s="2683"/>
      <c r="E29" s="2674"/>
      <c r="F29" s="2674"/>
      <c r="G29" s="2674"/>
      <c r="H29" s="2676"/>
      <c r="I29" s="2676"/>
      <c r="J29" s="2674"/>
    </row>
    <row r="30" spans="3:12" ht="15.75">
      <c r="C30" s="2676"/>
      <c r="D30" s="2683"/>
      <c r="E30" s="2674"/>
      <c r="F30" s="2674"/>
      <c r="G30" s="2674"/>
      <c r="H30" s="2676"/>
      <c r="I30" s="2676"/>
      <c r="J30" s="2674"/>
    </row>
    <row r="31" spans="3:12" ht="15.75">
      <c r="C31" s="2676"/>
      <c r="D31" s="2683"/>
      <c r="E31" s="2674"/>
      <c r="F31" s="2674"/>
      <c r="G31" s="2674"/>
      <c r="H31" s="2676"/>
      <c r="I31" s="2676"/>
      <c r="J31" s="2674"/>
    </row>
    <row r="32" spans="3:12" ht="12.75" customHeight="1">
      <c r="C32" s="2676"/>
      <c r="D32" s="2683"/>
      <c r="E32" s="2674"/>
      <c r="F32" s="2674"/>
      <c r="G32" s="2674"/>
      <c r="H32" s="2676"/>
      <c r="I32" s="2676"/>
      <c r="J32" s="2674"/>
    </row>
    <row r="33" spans="3:10" ht="15.75">
      <c r="C33" s="2676"/>
      <c r="D33" s="2683"/>
      <c r="E33" s="2674"/>
      <c r="F33" s="2674"/>
      <c r="G33" s="2674"/>
      <c r="H33" s="2676"/>
      <c r="I33" s="2676"/>
      <c r="J33" s="2674"/>
    </row>
    <row r="34" spans="3:10" ht="15.75">
      <c r="C34" s="2676"/>
      <c r="D34" s="2683"/>
      <c r="E34" s="2674"/>
      <c r="F34" s="2674"/>
      <c r="G34" s="2674"/>
      <c r="H34" s="2676"/>
      <c r="I34" s="2676"/>
      <c r="J34" s="2674"/>
    </row>
    <row r="35" spans="3:10">
      <c r="C35" s="2676"/>
      <c r="D35" s="2674"/>
      <c r="E35" s="2674"/>
      <c r="F35" s="2674"/>
      <c r="G35" s="2674"/>
      <c r="H35" s="2676"/>
      <c r="I35" s="2676"/>
      <c r="J35" s="2674"/>
    </row>
    <row r="36" spans="3:10">
      <c r="C36" s="2676"/>
      <c r="D36" s="2674"/>
      <c r="E36" s="2674"/>
      <c r="F36" s="2674"/>
      <c r="G36" s="2674"/>
      <c r="H36" s="2676"/>
      <c r="I36" s="2676"/>
      <c r="J36" s="2674"/>
    </row>
    <row r="37" spans="3:10">
      <c r="C37" s="2676"/>
      <c r="D37" s="2674"/>
      <c r="E37" s="2674"/>
      <c r="F37" s="2674"/>
      <c r="G37" s="2674"/>
      <c r="H37" s="2676"/>
      <c r="I37" s="2676"/>
      <c r="J37" s="2674"/>
    </row>
    <row r="38" spans="3:10">
      <c r="C38" s="2676"/>
      <c r="D38" s="2674"/>
      <c r="E38" s="2674"/>
      <c r="F38" s="2674"/>
      <c r="G38" s="2674"/>
      <c r="H38" s="2676"/>
      <c r="I38" s="2676"/>
      <c r="J38" s="2674"/>
    </row>
    <row r="39" spans="3:10">
      <c r="C39" s="2676"/>
      <c r="D39" s="2674"/>
      <c r="E39" s="2674"/>
      <c r="F39" s="2674"/>
      <c r="G39" s="2674"/>
      <c r="H39" s="2676"/>
      <c r="I39" s="2676"/>
      <c r="J39" s="2674"/>
    </row>
    <row r="40" spans="3:10">
      <c r="C40" s="2676"/>
      <c r="D40" s="2674"/>
      <c r="E40" s="2674"/>
      <c r="F40" s="2674"/>
      <c r="G40" s="2674"/>
      <c r="H40" s="2676"/>
      <c r="I40" s="2676"/>
      <c r="J40" s="2674"/>
    </row>
    <row r="41" spans="3:10">
      <c r="C41" s="2676"/>
      <c r="D41" s="2674"/>
      <c r="E41" s="2674"/>
      <c r="F41" s="2674"/>
      <c r="G41" s="2674"/>
      <c r="H41" s="2676"/>
      <c r="I41" s="2676"/>
      <c r="J41" s="2674"/>
    </row>
    <row r="42" spans="3:10">
      <c r="C42" s="2676"/>
      <c r="D42" s="2674"/>
      <c r="E42" s="2674"/>
      <c r="F42" s="2674"/>
      <c r="G42" s="2674"/>
      <c r="H42" s="2676"/>
      <c r="I42" s="2676"/>
      <c r="J42" s="2674"/>
    </row>
    <row r="43" spans="3:10">
      <c r="C43" s="2676"/>
      <c r="D43" s="2674"/>
      <c r="E43" s="2674"/>
      <c r="F43" s="2674"/>
      <c r="G43" s="2674"/>
      <c r="H43" s="2676"/>
      <c r="I43" s="2676"/>
      <c r="J43" s="2674"/>
    </row>
    <row r="44" spans="3:10">
      <c r="C44" s="2676"/>
      <c r="D44" s="2674"/>
      <c r="E44" s="2674"/>
      <c r="F44" s="2674"/>
      <c r="G44" s="2674"/>
      <c r="H44" s="2676"/>
      <c r="I44" s="2676"/>
      <c r="J44" s="2674"/>
    </row>
    <row r="45" spans="3:10">
      <c r="C45" s="2676"/>
      <c r="D45" s="2674"/>
      <c r="E45" s="2674"/>
      <c r="F45" s="2674"/>
      <c r="G45" s="2674"/>
      <c r="H45" s="2676"/>
      <c r="I45" s="2676"/>
      <c r="J45" s="2674"/>
    </row>
    <row r="46" spans="3:10">
      <c r="C46" s="2676"/>
      <c r="D46" s="2674"/>
      <c r="E46" s="2674"/>
      <c r="F46" s="2674"/>
      <c r="G46" s="2674"/>
      <c r="H46" s="2676"/>
      <c r="I46" s="2676"/>
      <c r="J46" s="2674"/>
    </row>
    <row r="47" spans="3:10">
      <c r="C47" s="2676"/>
      <c r="D47" s="2674"/>
      <c r="E47" s="2674"/>
      <c r="F47" s="2674"/>
      <c r="G47" s="2674"/>
      <c r="H47" s="2676"/>
      <c r="I47" s="2676"/>
      <c r="J47" s="2674"/>
    </row>
    <row r="48" spans="3:10">
      <c r="C48" s="2676"/>
      <c r="D48" s="2674"/>
      <c r="E48" s="2674"/>
      <c r="F48" s="2674"/>
      <c r="G48" s="2674"/>
      <c r="H48" s="2676"/>
      <c r="I48" s="2676"/>
      <c r="J48" s="2674"/>
    </row>
    <row r="49" spans="3:10">
      <c r="C49" s="2676"/>
      <c r="D49" s="2674"/>
      <c r="E49" s="2674"/>
      <c r="F49" s="2674"/>
      <c r="G49" s="2674"/>
      <c r="H49" s="2676"/>
      <c r="I49" s="2676"/>
      <c r="J49" s="2674"/>
    </row>
  </sheetData>
  <sortState ref="C8:J16">
    <sortCondition descending="1" ref="H8:H16"/>
    <sortCondition descending="1" ref="J8:J16"/>
    <sortCondition ref="C8:C16"/>
  </sortState>
  <mergeCells count="1">
    <mergeCell ref="C3:D3"/>
  </mergeCells>
  <phoneticPr fontId="230" type="noConversion"/>
  <printOptions horizontalCentered="1" verticalCentered="1"/>
  <pageMargins left="0.75" right="0.75" top="1" bottom="1" header="0" footer="0"/>
  <pageSetup paperSize="9" scale="76" orientation="landscape" horizontalDpi="120" verticalDpi="72" r:id="rId1"/>
  <headerFooter alignWithMargins="0"/>
</worksheet>
</file>

<file path=xl/worksheets/sheet30.xml><?xml version="1.0" encoding="utf-8"?>
<worksheet xmlns="http://schemas.openxmlformats.org/spreadsheetml/2006/main" xmlns:r="http://schemas.openxmlformats.org/officeDocument/2006/relationships">
  <sheetPr codeName="Hoja1"/>
  <dimension ref="B1:O53"/>
  <sheetViews>
    <sheetView workbookViewId="0">
      <selection activeCell="F33" sqref="F33"/>
    </sheetView>
  </sheetViews>
  <sheetFormatPr baseColWidth="10" defaultRowHeight="20.25"/>
  <cols>
    <col min="1" max="1" width="6" customWidth="1"/>
    <col min="2" max="2" width="3.7109375" style="15" customWidth="1"/>
    <col min="3" max="3" width="36.140625" customWidth="1"/>
    <col min="4" max="4" width="15.42578125" bestFit="1" customWidth="1"/>
    <col min="6" max="6" width="3.85546875" style="131" customWidth="1"/>
    <col min="7" max="7" width="15.28515625" customWidth="1"/>
    <col min="10" max="10" width="12.7109375" bestFit="1" customWidth="1"/>
    <col min="13" max="13" width="3" customWidth="1"/>
  </cols>
  <sheetData>
    <row r="1" spans="2:14" ht="16.5" customHeight="1"/>
    <row r="2" spans="2:14">
      <c r="B2" s="16"/>
      <c r="F2" s="132"/>
    </row>
    <row r="3" spans="2:14">
      <c r="B3" s="16" t="s">
        <v>5017</v>
      </c>
      <c r="F3" s="133" t="s">
        <v>73</v>
      </c>
    </row>
    <row r="4" spans="2:14">
      <c r="B4" s="15">
        <v>1</v>
      </c>
      <c r="C4" s="17" t="s">
        <v>5019</v>
      </c>
      <c r="D4" s="17"/>
      <c r="F4" s="132"/>
    </row>
    <row r="5" spans="2:14">
      <c r="C5" s="17" t="s">
        <v>208</v>
      </c>
      <c r="D5" s="408"/>
      <c r="F5" s="132" t="s">
        <v>2987</v>
      </c>
    </row>
    <row r="6" spans="2:14">
      <c r="C6" s="18" t="s">
        <v>209</v>
      </c>
      <c r="D6" s="19">
        <v>0</v>
      </c>
      <c r="F6" s="132"/>
    </row>
    <row r="7" spans="2:14">
      <c r="C7" s="18"/>
      <c r="D7" s="466"/>
      <c r="F7" s="132" t="s">
        <v>369</v>
      </c>
    </row>
    <row r="8" spans="2:14">
      <c r="B8" s="16" t="s">
        <v>5017</v>
      </c>
      <c r="C8" s="17"/>
      <c r="D8" s="17"/>
      <c r="F8" s="132" t="s">
        <v>4145</v>
      </c>
    </row>
    <row r="9" spans="2:14">
      <c r="B9" s="15">
        <v>2</v>
      </c>
      <c r="C9" s="17" t="s">
        <v>3036</v>
      </c>
      <c r="D9" s="17"/>
      <c r="F9" s="132" t="s">
        <v>3129</v>
      </c>
    </row>
    <row r="10" spans="2:14">
      <c r="C10" s="17" t="s">
        <v>824</v>
      </c>
      <c r="D10" s="408"/>
      <c r="F10" s="132" t="s">
        <v>3306</v>
      </c>
    </row>
    <row r="11" spans="2:14">
      <c r="C11" s="18" t="s">
        <v>209</v>
      </c>
      <c r="D11" s="19">
        <v>0</v>
      </c>
      <c r="F11" s="134" t="s">
        <v>878</v>
      </c>
    </row>
    <row r="13" spans="2:14">
      <c r="B13" s="16" t="s">
        <v>5017</v>
      </c>
      <c r="C13" s="17"/>
      <c r="D13" s="17"/>
      <c r="E13" t="s">
        <v>5018</v>
      </c>
      <c r="F13" s="659"/>
      <c r="G13" s="660" t="s">
        <v>3388</v>
      </c>
      <c r="H13" s="661"/>
      <c r="I13" s="662"/>
      <c r="J13" s="140"/>
      <c r="K13" s="140"/>
      <c r="L13" s="140"/>
      <c r="M13" s="663"/>
      <c r="N13" s="12"/>
    </row>
    <row r="14" spans="2:14">
      <c r="B14" s="15">
        <v>3</v>
      </c>
      <c r="C14" s="17" t="s">
        <v>975</v>
      </c>
      <c r="D14" s="17"/>
      <c r="F14" s="664"/>
      <c r="G14" s="4068">
        <v>39836</v>
      </c>
      <c r="H14" s="4068"/>
      <c r="I14" s="4068"/>
      <c r="J14" s="75"/>
      <c r="K14" s="75"/>
      <c r="L14" s="75"/>
      <c r="M14" s="665"/>
      <c r="N14" s="12"/>
    </row>
    <row r="15" spans="2:14" ht="18" customHeight="1">
      <c r="C15" s="17" t="s">
        <v>3075</v>
      </c>
      <c r="D15" s="939">
        <v>40123</v>
      </c>
      <c r="E15" s="465"/>
      <c r="F15" s="664"/>
      <c r="G15" s="666" t="s">
        <v>4867</v>
      </c>
      <c r="H15" s="654"/>
      <c r="I15" s="667"/>
      <c r="J15" s="668">
        <v>6850</v>
      </c>
      <c r="K15" s="75"/>
      <c r="L15" s="75"/>
      <c r="M15" s="665"/>
      <c r="N15" s="12"/>
    </row>
    <row r="16" spans="2:14">
      <c r="C16" s="18" t="s">
        <v>209</v>
      </c>
      <c r="D16" s="1049">
        <v>0.5</v>
      </c>
      <c r="F16" s="664"/>
      <c r="G16" s="666" t="s">
        <v>4868</v>
      </c>
      <c r="H16" s="654"/>
      <c r="I16" s="667"/>
      <c r="J16" s="75"/>
      <c r="K16" s="75"/>
      <c r="L16" s="75"/>
      <c r="M16" s="665"/>
      <c r="N16" s="12"/>
    </row>
    <row r="17" spans="2:15">
      <c r="F17" s="664"/>
      <c r="G17" s="666" t="s">
        <v>2356</v>
      </c>
      <c r="H17" s="654"/>
      <c r="I17" s="667"/>
      <c r="J17" s="75"/>
      <c r="K17" s="75"/>
      <c r="L17" s="75"/>
      <c r="M17" s="665"/>
      <c r="N17" s="12"/>
    </row>
    <row r="18" spans="2:15">
      <c r="C18" s="18"/>
      <c r="D18" s="466"/>
      <c r="F18" s="664"/>
      <c r="G18" s="666"/>
      <c r="H18" s="654"/>
      <c r="I18" s="667"/>
      <c r="J18" s="75"/>
      <c r="K18" s="75"/>
      <c r="L18" s="75"/>
      <c r="M18" s="665"/>
      <c r="N18" s="12"/>
    </row>
    <row r="19" spans="2:15">
      <c r="B19" s="16" t="s">
        <v>5017</v>
      </c>
      <c r="F19" s="664"/>
      <c r="G19" s="666" t="s">
        <v>2384</v>
      </c>
      <c r="H19" s="654"/>
      <c r="I19" s="667"/>
      <c r="J19" s="75"/>
      <c r="K19" s="75"/>
      <c r="L19" s="75"/>
      <c r="M19" s="665"/>
      <c r="N19" s="12"/>
    </row>
    <row r="20" spans="2:15">
      <c r="B20" s="15">
        <v>4</v>
      </c>
      <c r="C20" s="17" t="s">
        <v>1080</v>
      </c>
      <c r="F20" s="664"/>
      <c r="G20" s="669"/>
      <c r="H20" s="654"/>
      <c r="I20" s="667"/>
      <c r="J20" s="75"/>
      <c r="K20" s="75"/>
      <c r="L20" s="75"/>
      <c r="M20" s="665"/>
      <c r="N20" s="12"/>
    </row>
    <row r="21" spans="2:15" ht="35.25">
      <c r="C21" s="17" t="s">
        <v>4371</v>
      </c>
      <c r="D21" s="69">
        <v>40123</v>
      </c>
      <c r="F21" s="664"/>
      <c r="G21" s="440" t="s">
        <v>2385</v>
      </c>
      <c r="H21" s="655" t="s">
        <v>2801</v>
      </c>
      <c r="I21" s="680" t="s">
        <v>2294</v>
      </c>
      <c r="J21" s="434" t="s">
        <v>676</v>
      </c>
      <c r="K21" s="75"/>
      <c r="L21" s="75"/>
      <c r="M21" s="665"/>
      <c r="N21" s="12"/>
    </row>
    <row r="22" spans="2:15">
      <c r="C22" s="18" t="s">
        <v>209</v>
      </c>
      <c r="D22" s="1049">
        <f>24000-17752.67</f>
        <v>6247.3300000000017</v>
      </c>
      <c r="F22" s="664"/>
      <c r="G22" s="117">
        <v>24</v>
      </c>
      <c r="H22" s="681">
        <v>339</v>
      </c>
      <c r="I22" s="682">
        <v>1.3299999999999999E-2</v>
      </c>
      <c r="J22" s="683">
        <v>39877</v>
      </c>
      <c r="K22" s="75"/>
      <c r="L22" s="75"/>
      <c r="M22" s="665"/>
      <c r="N22" s="12"/>
    </row>
    <row r="23" spans="2:15">
      <c r="C23" s="18"/>
      <c r="D23" s="466"/>
      <c r="F23" s="664"/>
      <c r="G23" s="669"/>
      <c r="H23" s="670"/>
      <c r="I23" s="671"/>
      <c r="J23" s="75"/>
      <c r="K23" s="75"/>
      <c r="L23" s="75"/>
      <c r="M23" s="665"/>
      <c r="N23" s="12"/>
    </row>
    <row r="24" spans="2:15">
      <c r="B24" s="16" t="s">
        <v>5017</v>
      </c>
      <c r="F24" s="664"/>
      <c r="G24" s="112" t="s">
        <v>677</v>
      </c>
      <c r="H24" s="679">
        <f>+H22*G22</f>
        <v>8136</v>
      </c>
      <c r="I24" s="666">
        <f>+H24/G22</f>
        <v>339</v>
      </c>
      <c r="J24" s="75"/>
      <c r="K24" s="75"/>
      <c r="L24" s="75"/>
      <c r="M24" s="665"/>
      <c r="N24" s="12"/>
    </row>
    <row r="25" spans="2:15">
      <c r="B25" s="15">
        <v>5</v>
      </c>
      <c r="C25" s="17" t="s">
        <v>2304</v>
      </c>
      <c r="D25" s="408"/>
      <c r="F25" s="664"/>
      <c r="G25" s="669" t="s">
        <v>2538</v>
      </c>
      <c r="H25" s="658">
        <f>+J15</f>
        <v>6850</v>
      </c>
      <c r="I25" s="666">
        <f>+H25/G22</f>
        <v>285.41666666666669</v>
      </c>
      <c r="J25" s="75"/>
      <c r="K25" s="75"/>
      <c r="L25" s="75"/>
      <c r="M25" s="665"/>
      <c r="N25" s="12"/>
    </row>
    <row r="26" spans="2:15">
      <c r="C26" s="17" t="s">
        <v>2305</v>
      </c>
      <c r="D26" s="939">
        <v>40123</v>
      </c>
      <c r="F26" s="664"/>
      <c r="G26" s="672" t="s">
        <v>4884</v>
      </c>
      <c r="H26" s="673">
        <f>+H24-H25</f>
        <v>1286</v>
      </c>
      <c r="I26" s="92">
        <f>+H26/G22</f>
        <v>53.583333333333336</v>
      </c>
      <c r="J26" s="75"/>
      <c r="K26" s="75"/>
      <c r="L26" s="75"/>
      <c r="M26" s="665"/>
      <c r="N26" s="12"/>
    </row>
    <row r="27" spans="2:15">
      <c r="C27" s="18" t="s">
        <v>209</v>
      </c>
      <c r="D27" s="1049">
        <v>1387.1</v>
      </c>
      <c r="F27" s="674"/>
      <c r="G27" s="675"/>
      <c r="H27" s="676"/>
      <c r="I27" s="677"/>
      <c r="J27" s="80"/>
      <c r="K27" s="80"/>
      <c r="L27" s="80"/>
      <c r="M27" s="678"/>
      <c r="N27" s="12"/>
    </row>
    <row r="28" spans="2:15">
      <c r="C28" s="17" t="s">
        <v>5018</v>
      </c>
      <c r="D28" s="17" t="s">
        <v>5018</v>
      </c>
      <c r="F28" s="2"/>
      <c r="G28" s="1"/>
      <c r="H28" s="640"/>
      <c r="I28" s="4"/>
      <c r="M28" s="14"/>
      <c r="N28" s="461"/>
      <c r="O28" s="462"/>
    </row>
    <row r="29" spans="2:15">
      <c r="C29" s="1047" t="s">
        <v>551</v>
      </c>
      <c r="D29" s="1048">
        <f>+D27+D22+D16+D11+D6</f>
        <v>7634.9300000000021</v>
      </c>
      <c r="F29" s="2"/>
      <c r="G29" s="1"/>
      <c r="H29" s="640"/>
      <c r="I29" s="4"/>
      <c r="M29" s="14"/>
      <c r="N29" s="461"/>
      <c r="O29" s="462"/>
    </row>
    <row r="30" spans="2:15">
      <c r="D30" s="91"/>
      <c r="F30" s="2"/>
      <c r="G30" s="1">
        <v>36</v>
      </c>
      <c r="H30" s="656">
        <v>244</v>
      </c>
      <c r="I30" s="657">
        <v>1.3299999999999999E-2</v>
      </c>
      <c r="J30" s="69">
        <v>39877</v>
      </c>
      <c r="M30" s="14"/>
      <c r="N30" s="461"/>
      <c r="O30" s="462"/>
    </row>
    <row r="33" spans="2:4">
      <c r="C33" s="17"/>
      <c r="D33" s="17"/>
    </row>
    <row r="34" spans="2:4">
      <c r="B34" s="16"/>
    </row>
    <row r="36" spans="2:4" ht="18">
      <c r="B36" s="478" t="s">
        <v>1531</v>
      </c>
      <c r="C36" s="465"/>
      <c r="D36" s="465"/>
    </row>
    <row r="37" spans="2:4" ht="12.75">
      <c r="B37" s="4067" t="s">
        <v>4274</v>
      </c>
      <c r="C37" s="4067"/>
      <c r="D37" s="4067"/>
    </row>
    <row r="38" spans="2:4" ht="12.75">
      <c r="B38" s="4067" t="s">
        <v>4275</v>
      </c>
      <c r="C38" s="4067"/>
      <c r="D38" s="4067"/>
    </row>
    <row r="39" spans="2:4" ht="12.75">
      <c r="B39" s="464"/>
      <c r="C39" s="464"/>
      <c r="D39" s="464"/>
    </row>
    <row r="40" spans="2:4" hidden="1"/>
    <row r="41" spans="2:4" hidden="1">
      <c r="B41" s="16" t="s">
        <v>2609</v>
      </c>
    </row>
    <row r="42" spans="2:4" hidden="1">
      <c r="C42" t="s">
        <v>5018</v>
      </c>
    </row>
    <row r="43" spans="2:4" hidden="1">
      <c r="B43" s="15">
        <v>1</v>
      </c>
      <c r="C43" s="17" t="s">
        <v>2949</v>
      </c>
      <c r="D43" s="17"/>
    </row>
    <row r="44" spans="2:4" hidden="1">
      <c r="C44" s="17" t="s">
        <v>2950</v>
      </c>
      <c r="D44" s="17"/>
    </row>
    <row r="45" spans="2:4" hidden="1">
      <c r="C45" s="18" t="s">
        <v>209</v>
      </c>
      <c r="D45" s="19">
        <v>185</v>
      </c>
    </row>
    <row r="46" spans="2:4" hidden="1">
      <c r="C46" s="17" t="s">
        <v>5018</v>
      </c>
      <c r="D46" s="17" t="s">
        <v>5018</v>
      </c>
    </row>
    <row r="47" spans="2:4" hidden="1">
      <c r="C47" s="17"/>
      <c r="D47" s="17"/>
    </row>
    <row r="48" spans="2:4" hidden="1">
      <c r="B48" s="16" t="s">
        <v>2871</v>
      </c>
    </row>
    <row r="49" spans="2:4" hidden="1">
      <c r="C49" t="s">
        <v>5018</v>
      </c>
    </row>
    <row r="50" spans="2:4" hidden="1">
      <c r="B50" s="15">
        <v>1</v>
      </c>
      <c r="C50" s="17" t="s">
        <v>2872</v>
      </c>
      <c r="D50" s="17"/>
    </row>
    <row r="51" spans="2:4" hidden="1">
      <c r="C51" s="17" t="s">
        <v>5036</v>
      </c>
      <c r="D51" s="17"/>
    </row>
    <row r="52" spans="2:4" hidden="1">
      <c r="C52" s="18" t="s">
        <v>209</v>
      </c>
      <c r="D52" s="19">
        <v>750</v>
      </c>
    </row>
    <row r="53" spans="2:4" hidden="1"/>
  </sheetData>
  <mergeCells count="3">
    <mergeCell ref="B37:D37"/>
    <mergeCell ref="B38:D38"/>
    <mergeCell ref="G14:I14"/>
  </mergeCells>
  <phoneticPr fontId="0" type="noConversion"/>
  <hyperlinks>
    <hyperlink ref="F11" r:id="rId1" display="https://servicioalcliente.integra.com.pe/WebSiteCliente/Afiliados.do?metodo=iniciarContactenosLogeado&amp;tipoUsuario=A"/>
  </hyperlinks>
  <pageMargins left="0.75" right="0.75" top="0.4" bottom="1" header="0" footer="0"/>
  <pageSetup scale="115" orientation="portrait" horizontalDpi="120" verticalDpi="144" r:id="rId2"/>
  <headerFooter alignWithMargins="0"/>
  <drawing r:id="rId3"/>
  <legacyDrawing r:id="rId4"/>
  <controls>
    <control shapeId="3073" r:id="rId5" name="Control 1"/>
    <control shapeId="3074" r:id="rId6" name="Control 2"/>
  </controls>
</worksheet>
</file>

<file path=xl/worksheets/sheet31.xml><?xml version="1.0" encoding="utf-8"?>
<worksheet xmlns="http://schemas.openxmlformats.org/spreadsheetml/2006/main" xmlns:r="http://schemas.openxmlformats.org/officeDocument/2006/relationships">
  <sheetPr codeName="Hoja32">
    <pageSetUpPr fitToPage="1"/>
  </sheetPr>
  <dimension ref="A2:Y164"/>
  <sheetViews>
    <sheetView workbookViewId="0"/>
  </sheetViews>
  <sheetFormatPr baseColWidth="10" defaultRowHeight="15"/>
  <cols>
    <col min="1" max="1" width="5.28515625" customWidth="1"/>
    <col min="2" max="2" width="5.28515625" style="8" customWidth="1"/>
    <col min="3" max="3" width="9.28515625" bestFit="1" customWidth="1"/>
    <col min="4" max="4" width="3" style="8" bestFit="1" customWidth="1"/>
    <col min="5" max="6" width="11.28515625" style="203" bestFit="1" customWidth="1"/>
    <col min="7" max="7" width="14.140625" style="98" customWidth="1"/>
    <col min="8" max="8" width="13.140625" style="98" bestFit="1" customWidth="1"/>
    <col min="9" max="9" width="14.5703125" style="199" customWidth="1"/>
    <col min="10" max="10" width="6.85546875" style="8" bestFit="1" customWidth="1"/>
    <col min="11" max="11" width="8.140625" bestFit="1" customWidth="1"/>
    <col min="12" max="12" width="29" bestFit="1" customWidth="1"/>
    <col min="14" max="14" width="5.28515625" bestFit="1" customWidth="1"/>
    <col min="15" max="15" width="27" bestFit="1" customWidth="1"/>
    <col min="16" max="16" width="8.7109375" bestFit="1" customWidth="1"/>
    <col min="17" max="17" width="8.28515625" bestFit="1" customWidth="1"/>
    <col min="20" max="20" width="9.5703125" bestFit="1" customWidth="1"/>
    <col min="21" max="21" width="8.42578125" bestFit="1" customWidth="1"/>
  </cols>
  <sheetData>
    <row r="2" spans="2:12" ht="15.2" customHeight="1">
      <c r="B2" s="4143" t="s">
        <v>4556</v>
      </c>
      <c r="C2" s="4143"/>
      <c r="D2" s="4143"/>
      <c r="E2" s="4143"/>
      <c r="F2" s="4143"/>
      <c r="G2" s="4143"/>
      <c r="H2" s="4143"/>
      <c r="I2" s="4143"/>
      <c r="J2" s="4143"/>
      <c r="K2" s="4143"/>
      <c r="L2" s="4143"/>
    </row>
    <row r="4" spans="2:12">
      <c r="C4" s="4050" t="s">
        <v>4557</v>
      </c>
      <c r="D4" s="4050"/>
      <c r="E4" s="200" t="s">
        <v>4558</v>
      </c>
      <c r="F4" s="200" t="s">
        <v>317</v>
      </c>
      <c r="G4" s="88" t="s">
        <v>318</v>
      </c>
      <c r="H4" s="88" t="s">
        <v>319</v>
      </c>
      <c r="I4" s="88" t="s">
        <v>320</v>
      </c>
      <c r="J4" s="9" t="s">
        <v>321</v>
      </c>
      <c r="K4" s="9" t="s">
        <v>3754</v>
      </c>
      <c r="L4" s="201" t="s">
        <v>629</v>
      </c>
    </row>
    <row r="5" spans="2:12" ht="15.2" customHeight="1">
      <c r="B5" s="8" t="s">
        <v>39</v>
      </c>
      <c r="C5" t="s">
        <v>552</v>
      </c>
      <c r="D5" s="44">
        <v>3</v>
      </c>
      <c r="E5" s="202">
        <v>39097</v>
      </c>
      <c r="F5" s="202">
        <v>39103</v>
      </c>
      <c r="G5" s="111">
        <v>381.31</v>
      </c>
      <c r="H5" s="111">
        <v>48.96</v>
      </c>
      <c r="I5" s="111">
        <v>332.35</v>
      </c>
      <c r="J5" s="93">
        <v>7</v>
      </c>
      <c r="K5" s="93">
        <v>54.47</v>
      </c>
      <c r="L5" t="s">
        <v>704</v>
      </c>
    </row>
    <row r="6" spans="2:12" ht="15.2" customHeight="1">
      <c r="B6" s="8" t="s">
        <v>39</v>
      </c>
      <c r="C6" t="s">
        <v>552</v>
      </c>
      <c r="D6" s="44">
        <v>4</v>
      </c>
      <c r="E6" s="202">
        <v>39104</v>
      </c>
      <c r="F6" s="202">
        <v>39110</v>
      </c>
      <c r="G6" s="111">
        <v>163.41999999999999</v>
      </c>
      <c r="H6" s="111">
        <v>20.98</v>
      </c>
      <c r="I6" s="111">
        <v>142.44</v>
      </c>
      <c r="J6" s="93">
        <v>3</v>
      </c>
      <c r="K6" s="93">
        <v>54.47</v>
      </c>
      <c r="L6" t="s">
        <v>704</v>
      </c>
    </row>
    <row r="7" spans="2:12" ht="5.45" customHeight="1">
      <c r="C7" s="93"/>
      <c r="D7" s="93"/>
      <c r="E7" s="202"/>
      <c r="F7" s="202"/>
      <c r="G7" s="111"/>
      <c r="H7" s="111"/>
      <c r="I7" s="111"/>
      <c r="J7" s="93"/>
      <c r="K7" s="93"/>
    </row>
    <row r="8" spans="2:12" ht="15.2" customHeight="1">
      <c r="B8" s="8" t="s">
        <v>553</v>
      </c>
      <c r="C8" t="s">
        <v>552</v>
      </c>
      <c r="D8" s="44">
        <v>9</v>
      </c>
      <c r="E8" s="203">
        <v>39139</v>
      </c>
      <c r="F8" s="203">
        <v>39145</v>
      </c>
      <c r="G8" s="98">
        <v>871.57</v>
      </c>
      <c r="H8" s="98">
        <v>111.91</v>
      </c>
      <c r="I8" s="199">
        <v>759.66</v>
      </c>
      <c r="J8" s="8">
        <v>16</v>
      </c>
      <c r="K8" s="93">
        <v>54.47</v>
      </c>
      <c r="L8" t="s">
        <v>1272</v>
      </c>
    </row>
    <row r="9" spans="2:12" ht="15.95" customHeight="1">
      <c r="B9" s="8" t="s">
        <v>553</v>
      </c>
      <c r="C9" t="s">
        <v>552</v>
      </c>
      <c r="D9" s="44">
        <v>10</v>
      </c>
      <c r="E9" s="203">
        <v>39146</v>
      </c>
      <c r="F9" s="203">
        <v>39152</v>
      </c>
      <c r="G9" s="98">
        <v>490.26</v>
      </c>
      <c r="H9" s="98">
        <v>62.95</v>
      </c>
      <c r="I9" s="199">
        <v>427.31</v>
      </c>
      <c r="J9" s="8">
        <v>9</v>
      </c>
      <c r="K9" s="93">
        <v>54.47</v>
      </c>
      <c r="L9" t="s">
        <v>1272</v>
      </c>
    </row>
    <row r="10" spans="2:12" ht="15.95" customHeight="1">
      <c r="B10" s="8" t="s">
        <v>553</v>
      </c>
      <c r="C10" t="s">
        <v>552</v>
      </c>
      <c r="D10" s="44">
        <v>11</v>
      </c>
      <c r="E10" s="203">
        <v>39153</v>
      </c>
      <c r="F10" s="203">
        <v>39159</v>
      </c>
      <c r="G10" s="98">
        <v>544.73</v>
      </c>
      <c r="H10" s="98">
        <v>69.94</v>
      </c>
      <c r="I10" s="199">
        <v>474.79</v>
      </c>
      <c r="J10" s="8">
        <v>10</v>
      </c>
      <c r="K10" s="93">
        <v>54.47</v>
      </c>
      <c r="L10" t="s">
        <v>1272</v>
      </c>
    </row>
    <row r="11" spans="2:12" ht="15.2" customHeight="1">
      <c r="B11" s="8" t="s">
        <v>553</v>
      </c>
      <c r="C11" t="s">
        <v>552</v>
      </c>
      <c r="D11" s="44">
        <v>12</v>
      </c>
      <c r="E11" s="203">
        <v>39160</v>
      </c>
      <c r="F11" s="203">
        <v>39166</v>
      </c>
      <c r="G11" s="98">
        <v>544.73</v>
      </c>
      <c r="H11" s="98">
        <v>69.94</v>
      </c>
      <c r="I11" s="199">
        <v>474.79</v>
      </c>
      <c r="J11" s="8">
        <v>10</v>
      </c>
      <c r="K11" s="93">
        <v>54.47</v>
      </c>
      <c r="L11" t="s">
        <v>1272</v>
      </c>
    </row>
    <row r="12" spans="2:12" ht="15.2" customHeight="1">
      <c r="B12" s="204" t="s">
        <v>553</v>
      </c>
      <c r="C12" s="80" t="s">
        <v>552</v>
      </c>
      <c r="D12" s="205">
        <v>13</v>
      </c>
      <c r="E12" s="206">
        <v>39167</v>
      </c>
      <c r="F12" s="206">
        <v>39173</v>
      </c>
      <c r="G12" s="207">
        <v>544.73</v>
      </c>
      <c r="H12" s="207">
        <v>69.94</v>
      </c>
      <c r="I12" s="208">
        <v>474.79</v>
      </c>
      <c r="J12" s="204">
        <v>10</v>
      </c>
      <c r="K12" s="204">
        <v>54.47</v>
      </c>
      <c r="L12" t="s">
        <v>1272</v>
      </c>
    </row>
    <row r="13" spans="2:12" ht="15.95" customHeight="1">
      <c r="B13" s="8" t="s">
        <v>1273</v>
      </c>
      <c r="C13" t="s">
        <v>552</v>
      </c>
      <c r="D13" s="44">
        <v>14</v>
      </c>
      <c r="E13" s="203">
        <v>39174</v>
      </c>
      <c r="F13" s="203">
        <v>39180</v>
      </c>
      <c r="G13" s="98">
        <v>544.73</v>
      </c>
      <c r="H13" s="98">
        <v>69.94</v>
      </c>
      <c r="I13" s="199">
        <v>474.79</v>
      </c>
      <c r="J13" s="8">
        <v>10</v>
      </c>
      <c r="K13" s="93">
        <v>54.47</v>
      </c>
      <c r="L13" t="s">
        <v>1272</v>
      </c>
    </row>
    <row r="14" spans="2:12" ht="16.7" customHeight="1" thickBot="1">
      <c r="B14" s="8" t="s">
        <v>1273</v>
      </c>
      <c r="C14" t="s">
        <v>552</v>
      </c>
      <c r="D14" s="44">
        <v>15</v>
      </c>
      <c r="E14" s="203">
        <v>39181</v>
      </c>
      <c r="F14" s="203">
        <v>39187</v>
      </c>
      <c r="G14" s="98">
        <v>544.73</v>
      </c>
      <c r="H14" s="98">
        <v>69.94</v>
      </c>
      <c r="I14" s="199">
        <v>474.79</v>
      </c>
      <c r="J14" s="8">
        <v>10</v>
      </c>
      <c r="K14" s="93">
        <v>54.47</v>
      </c>
      <c r="L14" t="s">
        <v>1272</v>
      </c>
    </row>
    <row r="15" spans="2:12" ht="16.7" customHeight="1" thickBot="1">
      <c r="D15" s="44"/>
      <c r="G15" s="4144" t="s">
        <v>13</v>
      </c>
      <c r="H15" s="4145"/>
      <c r="I15" s="209">
        <f>SUM(I5:I14)</f>
        <v>4035.71</v>
      </c>
      <c r="J15" s="210">
        <f>SUM(J5:J14)</f>
        <v>85</v>
      </c>
      <c r="K15" s="211" t="s">
        <v>14</v>
      </c>
    </row>
    <row r="16" spans="2:12" ht="15.2" customHeight="1">
      <c r="B16" s="4146" t="s">
        <v>2245</v>
      </c>
      <c r="C16" s="4146"/>
      <c r="D16" s="4146"/>
      <c r="E16" s="4146"/>
      <c r="F16" s="4146"/>
      <c r="G16" s="4146"/>
      <c r="H16" s="4146"/>
      <c r="I16" s="4146"/>
      <c r="J16" s="4146"/>
      <c r="K16" s="4146"/>
      <c r="L16" s="4146"/>
    </row>
    <row r="17" spans="2:12" ht="15.2" customHeight="1">
      <c r="B17" s="4146"/>
      <c r="C17" s="4146"/>
      <c r="D17" s="4146"/>
      <c r="E17" s="4146"/>
      <c r="F17" s="4146"/>
      <c r="G17" s="4146"/>
      <c r="H17" s="4146"/>
      <c r="I17" s="4146"/>
      <c r="J17" s="4146"/>
      <c r="K17" s="4146"/>
      <c r="L17" s="4146"/>
    </row>
    <row r="18" spans="2:12" ht="15.95" customHeight="1">
      <c r="D18" s="44"/>
    </row>
    <row r="19" spans="2:12" ht="15.95" customHeight="1">
      <c r="D19" s="44"/>
    </row>
    <row r="20" spans="2:12" ht="15.2" customHeight="1" thickBot="1">
      <c r="C20" s="4134" t="s">
        <v>4557</v>
      </c>
      <c r="D20" s="4134"/>
      <c r="E20" s="365" t="s">
        <v>4558</v>
      </c>
      <c r="F20" s="365" t="s">
        <v>317</v>
      </c>
      <c r="G20" s="364" t="s">
        <v>318</v>
      </c>
      <c r="H20" s="364" t="s">
        <v>319</v>
      </c>
      <c r="I20" s="364" t="s">
        <v>320</v>
      </c>
      <c r="J20" s="212" t="s">
        <v>321</v>
      </c>
      <c r="K20" s="27" t="s">
        <v>3754</v>
      </c>
      <c r="L20" s="379" t="s">
        <v>629</v>
      </c>
    </row>
    <row r="21" spans="2:12" ht="15.2" customHeight="1">
      <c r="B21" s="370" t="s">
        <v>39</v>
      </c>
      <c r="C21" s="371" t="s">
        <v>552</v>
      </c>
      <c r="D21" s="403">
        <v>3</v>
      </c>
      <c r="E21" s="395">
        <v>39097</v>
      </c>
      <c r="F21" s="395">
        <v>39103</v>
      </c>
      <c r="G21" s="380">
        <f>249.7/10*7</f>
        <v>174.79</v>
      </c>
      <c r="H21" s="380">
        <f>32.06/10*7</f>
        <v>22.442000000000004</v>
      </c>
      <c r="I21" s="380">
        <f>217.64/10*7</f>
        <v>152.34799999999998</v>
      </c>
      <c r="J21" s="390">
        <v>7</v>
      </c>
      <c r="K21" s="374">
        <v>24.97</v>
      </c>
      <c r="L21" s="400" t="s">
        <v>587</v>
      </c>
    </row>
    <row r="22" spans="2:12" ht="15.2" customHeight="1" thickBot="1">
      <c r="B22" s="386" t="s">
        <v>39</v>
      </c>
      <c r="C22" s="387" t="s">
        <v>552</v>
      </c>
      <c r="D22" s="404">
        <v>4</v>
      </c>
      <c r="E22" s="396">
        <v>39104</v>
      </c>
      <c r="F22" s="396">
        <v>39110</v>
      </c>
      <c r="G22" s="388">
        <f>249.7/10*3</f>
        <v>74.91</v>
      </c>
      <c r="H22" s="388">
        <f>32.06/10*3</f>
        <v>9.6180000000000021</v>
      </c>
      <c r="I22" s="388">
        <f>217.64/10*3</f>
        <v>65.292000000000002</v>
      </c>
      <c r="J22" s="391">
        <v>3</v>
      </c>
      <c r="K22" s="389">
        <v>24.97</v>
      </c>
      <c r="L22" s="401" t="s">
        <v>587</v>
      </c>
    </row>
    <row r="23" spans="2:12" ht="15.2" customHeight="1" thickTop="1">
      <c r="B23" s="384" t="s">
        <v>553</v>
      </c>
      <c r="C23" s="385" t="s">
        <v>552</v>
      </c>
      <c r="D23" s="405">
        <v>9</v>
      </c>
      <c r="E23" s="397">
        <v>39139</v>
      </c>
      <c r="F23" s="397">
        <v>39145</v>
      </c>
      <c r="G23" s="381">
        <f>249.7/10*16</f>
        <v>399.52</v>
      </c>
      <c r="H23" s="381">
        <f>32.06/10*16</f>
        <v>51.296000000000006</v>
      </c>
      <c r="I23" s="381">
        <f>217.64/10*16</f>
        <v>348.22399999999999</v>
      </c>
      <c r="J23" s="392">
        <v>16</v>
      </c>
      <c r="K23" s="374">
        <v>24.97</v>
      </c>
      <c r="L23" s="400" t="s">
        <v>587</v>
      </c>
    </row>
    <row r="24" spans="2:12" ht="15.2" customHeight="1">
      <c r="B24" s="372" t="s">
        <v>553</v>
      </c>
      <c r="C24" s="373" t="s">
        <v>552</v>
      </c>
      <c r="D24" s="406">
        <v>10</v>
      </c>
      <c r="E24" s="398">
        <v>39146</v>
      </c>
      <c r="F24" s="398">
        <v>39152</v>
      </c>
      <c r="G24" s="381">
        <f>249.7/10*9</f>
        <v>224.73</v>
      </c>
      <c r="H24" s="381">
        <f>32.06/10*9</f>
        <v>28.854000000000003</v>
      </c>
      <c r="I24" s="381">
        <f>217.64/10*9</f>
        <v>195.876</v>
      </c>
      <c r="J24" s="392">
        <v>9</v>
      </c>
      <c r="K24" s="374">
        <v>24.97</v>
      </c>
      <c r="L24" s="400" t="s">
        <v>587</v>
      </c>
    </row>
    <row r="25" spans="2:12" ht="15.2" customHeight="1">
      <c r="B25" s="372" t="s">
        <v>553</v>
      </c>
      <c r="C25" s="373" t="s">
        <v>552</v>
      </c>
      <c r="D25" s="406">
        <v>11</v>
      </c>
      <c r="E25" s="398">
        <v>39153</v>
      </c>
      <c r="F25" s="398">
        <v>39159</v>
      </c>
      <c r="G25" s="381">
        <v>249.7</v>
      </c>
      <c r="H25" s="381">
        <v>32.06</v>
      </c>
      <c r="I25" s="381">
        <v>217.64</v>
      </c>
      <c r="J25" s="392">
        <v>10</v>
      </c>
      <c r="K25" s="374">
        <v>24.97</v>
      </c>
      <c r="L25" s="400" t="s">
        <v>587</v>
      </c>
    </row>
    <row r="26" spans="2:12" ht="15.2" customHeight="1">
      <c r="B26" s="372" t="s">
        <v>553</v>
      </c>
      <c r="C26" s="373" t="s">
        <v>552</v>
      </c>
      <c r="D26" s="406">
        <v>12</v>
      </c>
      <c r="E26" s="398">
        <v>39160</v>
      </c>
      <c r="F26" s="398">
        <v>39166</v>
      </c>
      <c r="G26" s="382">
        <v>249.7</v>
      </c>
      <c r="H26" s="382">
        <v>32.06</v>
      </c>
      <c r="I26" s="382">
        <v>217.64</v>
      </c>
      <c r="J26" s="393">
        <v>10</v>
      </c>
      <c r="K26" s="375">
        <v>24.97</v>
      </c>
      <c r="L26" s="400" t="s">
        <v>587</v>
      </c>
    </row>
    <row r="27" spans="2:12" ht="15.2" customHeight="1" thickBot="1">
      <c r="B27" s="386" t="s">
        <v>553</v>
      </c>
      <c r="C27" s="387" t="s">
        <v>552</v>
      </c>
      <c r="D27" s="404">
        <v>13</v>
      </c>
      <c r="E27" s="396">
        <v>39167</v>
      </c>
      <c r="F27" s="396">
        <v>39173</v>
      </c>
      <c r="G27" s="388">
        <v>249.7</v>
      </c>
      <c r="H27" s="388">
        <v>32.06</v>
      </c>
      <c r="I27" s="388">
        <v>217.64</v>
      </c>
      <c r="J27" s="391">
        <v>10</v>
      </c>
      <c r="K27" s="389">
        <v>24.97</v>
      </c>
      <c r="L27" s="401" t="s">
        <v>587</v>
      </c>
    </row>
    <row r="28" spans="2:12" ht="15.2" customHeight="1" thickTop="1">
      <c r="B28" s="384" t="s">
        <v>1273</v>
      </c>
      <c r="C28" s="385" t="s">
        <v>552</v>
      </c>
      <c r="D28" s="405">
        <v>14</v>
      </c>
      <c r="E28" s="397">
        <v>39174</v>
      </c>
      <c r="F28" s="397">
        <v>39180</v>
      </c>
      <c r="G28" s="381">
        <v>249.7</v>
      </c>
      <c r="H28" s="381">
        <v>32.06</v>
      </c>
      <c r="I28" s="381">
        <v>217.64</v>
      </c>
      <c r="J28" s="392">
        <v>10</v>
      </c>
      <c r="K28" s="374">
        <v>24.97</v>
      </c>
      <c r="L28" s="400" t="s">
        <v>587</v>
      </c>
    </row>
    <row r="29" spans="2:12" ht="15.2" customHeight="1" thickBot="1">
      <c r="B29" s="376" t="s">
        <v>1273</v>
      </c>
      <c r="C29" s="377" t="s">
        <v>552</v>
      </c>
      <c r="D29" s="407">
        <v>15</v>
      </c>
      <c r="E29" s="399">
        <v>39181</v>
      </c>
      <c r="F29" s="399">
        <v>39187</v>
      </c>
      <c r="G29" s="383">
        <v>249.7</v>
      </c>
      <c r="H29" s="383">
        <v>32.06</v>
      </c>
      <c r="I29" s="383">
        <v>217.64</v>
      </c>
      <c r="J29" s="394">
        <v>10</v>
      </c>
      <c r="K29" s="378">
        <v>24.97</v>
      </c>
      <c r="L29" s="402" t="s">
        <v>587</v>
      </c>
    </row>
    <row r="30" spans="2:12" ht="18.75" thickBot="1">
      <c r="B30" s="72" t="s">
        <v>1273</v>
      </c>
      <c r="C30" s="213" t="s">
        <v>552</v>
      </c>
      <c r="D30" s="214">
        <v>17</v>
      </c>
      <c r="E30" s="215">
        <v>39195</v>
      </c>
      <c r="F30" s="215">
        <v>39201</v>
      </c>
      <c r="G30" s="216">
        <f>24.97*10</f>
        <v>249.7</v>
      </c>
      <c r="H30" s="217">
        <v>32.06</v>
      </c>
      <c r="I30" s="366">
        <f>+G30-H30</f>
        <v>217.64</v>
      </c>
      <c r="J30" s="367">
        <v>10</v>
      </c>
      <c r="K30" s="368">
        <f>+G30/J30</f>
        <v>24.97</v>
      </c>
      <c r="L30" s="369" t="s">
        <v>2599</v>
      </c>
    </row>
    <row r="31" spans="2:12" ht="18.75" thickTop="1">
      <c r="B31" s="8" t="s">
        <v>2242</v>
      </c>
      <c r="C31" t="s">
        <v>552</v>
      </c>
      <c r="D31" s="44">
        <v>18</v>
      </c>
      <c r="E31" s="203">
        <v>39202</v>
      </c>
      <c r="F31" s="203">
        <f>6+E31</f>
        <v>39208</v>
      </c>
      <c r="G31" s="219">
        <f>+G30/10*J31</f>
        <v>249.7</v>
      </c>
      <c r="H31" s="98">
        <f>+H30/10*J31</f>
        <v>32.06</v>
      </c>
      <c r="I31" s="294">
        <f>+I30/10*J31</f>
        <v>217.64</v>
      </c>
      <c r="J31" s="53">
        <v>10</v>
      </c>
      <c r="K31" s="54">
        <f>+G31/J31</f>
        <v>24.97</v>
      </c>
      <c r="L31" s="220" t="s">
        <v>210</v>
      </c>
    </row>
    <row r="32" spans="2:12" ht="18">
      <c r="B32" s="8" t="s">
        <v>2242</v>
      </c>
      <c r="C32" t="s">
        <v>552</v>
      </c>
      <c r="D32" s="44">
        <v>19</v>
      </c>
      <c r="E32" s="203">
        <f>1+F31</f>
        <v>39209</v>
      </c>
      <c r="F32" s="203">
        <f>6+E32</f>
        <v>39215</v>
      </c>
      <c r="G32" s="219">
        <f>+G30/10*J32</f>
        <v>249.7</v>
      </c>
      <c r="H32" s="98">
        <f>+H30/10*J32</f>
        <v>32.06</v>
      </c>
      <c r="I32" s="294">
        <f>+I30/10*J32</f>
        <v>217.64</v>
      </c>
      <c r="J32" s="53">
        <v>10</v>
      </c>
      <c r="K32" s="54">
        <f>+G32/J32</f>
        <v>24.97</v>
      </c>
      <c r="L32" s="220" t="s">
        <v>210</v>
      </c>
    </row>
    <row r="33" spans="2:22" ht="18">
      <c r="B33" s="8" t="s">
        <v>2242</v>
      </c>
      <c r="C33" t="s">
        <v>552</v>
      </c>
      <c r="D33" s="44">
        <v>20</v>
      </c>
      <c r="E33" s="203">
        <f>1+F32</f>
        <v>39216</v>
      </c>
      <c r="F33" s="203">
        <f>6+E33</f>
        <v>39222</v>
      </c>
      <c r="G33" s="219">
        <f>+G30/10*J33</f>
        <v>199.76</v>
      </c>
      <c r="H33" s="98">
        <f>+H30/10*J33</f>
        <v>25.648000000000003</v>
      </c>
      <c r="I33" s="294">
        <f>+I30/10*J33</f>
        <v>174.11199999999999</v>
      </c>
      <c r="J33" s="53">
        <v>8</v>
      </c>
      <c r="K33" s="54">
        <f>+G33/J33</f>
        <v>24.97</v>
      </c>
      <c r="L33" s="220" t="s">
        <v>210</v>
      </c>
      <c r="N33" s="4154"/>
      <c r="O33" s="4154"/>
      <c r="P33" s="4154"/>
      <c r="Q33" s="4154"/>
      <c r="R33" s="4154"/>
      <c r="S33" s="4154"/>
      <c r="T33" s="4154"/>
      <c r="U33" s="4154"/>
      <c r="V33" s="75"/>
    </row>
    <row r="34" spans="2:22" ht="15.95" customHeight="1">
      <c r="D34" s="44"/>
      <c r="N34" s="75"/>
      <c r="O34" s="75"/>
      <c r="P34" s="75"/>
      <c r="Q34" s="75"/>
      <c r="R34" s="93"/>
      <c r="S34" s="75"/>
      <c r="T34" s="75"/>
      <c r="U34" s="75"/>
      <c r="V34" s="4147"/>
    </row>
    <row r="35" spans="2:22" ht="15.95" customHeight="1">
      <c r="D35" s="44"/>
      <c r="H35" s="221" t="s">
        <v>2</v>
      </c>
      <c r="I35" s="222"/>
      <c r="J35" s="9">
        <f>SUM(J21:J34)</f>
        <v>123</v>
      </c>
      <c r="N35" s="3982"/>
      <c r="O35" s="4156"/>
      <c r="P35" s="3982"/>
      <c r="Q35" s="3982"/>
      <c r="R35" s="4155"/>
      <c r="S35" s="3982"/>
      <c r="T35" s="3982"/>
      <c r="U35" s="3982"/>
      <c r="V35" s="4147"/>
    </row>
    <row r="36" spans="2:22" ht="15.2" customHeight="1">
      <c r="B36" s="3939" t="s">
        <v>884</v>
      </c>
      <c r="C36" s="3939"/>
      <c r="D36" s="3939"/>
      <c r="E36" s="3939"/>
      <c r="F36" s="3939"/>
      <c r="G36" s="3939"/>
      <c r="H36" s="3939"/>
      <c r="I36" s="3939"/>
      <c r="J36" s="3939"/>
      <c r="K36" s="3939"/>
      <c r="L36" s="3939"/>
      <c r="N36" s="3982"/>
      <c r="O36" s="4156"/>
      <c r="P36" s="3982"/>
      <c r="Q36" s="3982"/>
      <c r="R36" s="4155"/>
      <c r="S36" s="3982"/>
      <c r="T36" s="75"/>
      <c r="U36" s="75"/>
      <c r="V36" s="4147"/>
    </row>
    <row r="37" spans="2:22" ht="15.2" customHeight="1">
      <c r="B37" s="3939"/>
      <c r="C37" s="3939"/>
      <c r="D37" s="3939"/>
      <c r="E37" s="3939"/>
      <c r="F37" s="3939"/>
      <c r="G37" s="3939"/>
      <c r="H37" s="3939"/>
      <c r="I37" s="3939"/>
      <c r="J37" s="3939"/>
      <c r="K37" s="3939"/>
      <c r="L37" s="3939"/>
      <c r="N37" s="3982"/>
      <c r="O37" s="3982"/>
      <c r="P37" s="3982"/>
      <c r="Q37" s="3982"/>
      <c r="R37" s="93"/>
      <c r="S37" s="75"/>
      <c r="T37" s="3982"/>
      <c r="U37" s="3982"/>
      <c r="V37" s="4136"/>
    </row>
    <row r="38" spans="2:22" ht="15.2" customHeight="1">
      <c r="B38" s="198"/>
      <c r="C38" s="198"/>
      <c r="D38" s="198"/>
      <c r="E38" s="198"/>
      <c r="F38" s="198"/>
      <c r="G38" s="198"/>
      <c r="H38" s="198"/>
      <c r="I38" s="198"/>
      <c r="J38" s="198"/>
      <c r="K38" s="198"/>
      <c r="L38" s="198"/>
      <c r="N38" s="3982"/>
      <c r="O38" s="3982"/>
      <c r="P38" s="3982"/>
      <c r="Q38" s="3982"/>
      <c r="R38" s="93"/>
      <c r="S38" s="75"/>
      <c r="T38" s="3982"/>
      <c r="U38" s="3982"/>
      <c r="V38" s="4136"/>
    </row>
    <row r="39" spans="2:22" ht="15.2" customHeight="1">
      <c r="B39" s="198"/>
      <c r="C39" s="198"/>
      <c r="D39" s="198"/>
      <c r="E39" s="198"/>
      <c r="F39" s="198"/>
      <c r="G39" s="198"/>
      <c r="H39" s="198"/>
      <c r="I39" s="198"/>
      <c r="J39" s="198"/>
      <c r="K39" s="198"/>
      <c r="L39" s="198"/>
      <c r="N39" s="3982"/>
      <c r="O39" s="3982"/>
      <c r="P39" s="3982"/>
      <c r="Q39" s="3982"/>
      <c r="R39" s="93"/>
      <c r="S39" s="75"/>
      <c r="T39" s="3982"/>
      <c r="U39" s="3982"/>
      <c r="V39" s="4136"/>
    </row>
    <row r="40" spans="2:22" ht="15.2" customHeight="1">
      <c r="B40" s="4135" t="s">
        <v>2285</v>
      </c>
      <c r="C40" s="4135"/>
      <c r="D40" s="4135"/>
      <c r="E40" s="4135"/>
      <c r="F40" s="4135"/>
      <c r="G40" s="4135"/>
      <c r="H40" s="4135"/>
      <c r="I40" s="4135"/>
      <c r="J40" s="4135"/>
      <c r="K40" s="4135"/>
      <c r="L40" s="4135"/>
      <c r="N40" s="3982"/>
      <c r="O40" s="3982"/>
      <c r="P40" s="3982"/>
      <c r="Q40" s="3982"/>
      <c r="R40" s="93"/>
      <c r="S40" s="75"/>
      <c r="T40" s="3982"/>
      <c r="U40" s="3982"/>
      <c r="V40" s="4136"/>
    </row>
    <row r="41" spans="2:22" ht="15.2" customHeight="1">
      <c r="B41" s="4135"/>
      <c r="C41" s="4135"/>
      <c r="D41" s="4135"/>
      <c r="E41" s="4135"/>
      <c r="F41" s="4135"/>
      <c r="G41" s="4135"/>
      <c r="H41" s="4135"/>
      <c r="I41" s="4135"/>
      <c r="J41" s="4135"/>
      <c r="K41" s="4135"/>
      <c r="L41" s="4135"/>
      <c r="N41" s="75"/>
      <c r="O41" s="75"/>
      <c r="P41" s="362"/>
      <c r="Q41" s="75"/>
      <c r="R41" s="93"/>
      <c r="S41" s="75"/>
      <c r="T41" s="3982"/>
      <c r="U41" s="3982"/>
      <c r="V41" s="4136"/>
    </row>
    <row r="42" spans="2:22" ht="15.95" customHeight="1">
      <c r="D42" s="44"/>
      <c r="J42" s="93"/>
      <c r="N42" s="75"/>
      <c r="O42" s="75"/>
      <c r="P42" s="362"/>
      <c r="Q42" s="75"/>
      <c r="R42" s="93"/>
      <c r="S42" s="75"/>
      <c r="T42" s="3982"/>
      <c r="U42" s="3982"/>
      <c r="V42" s="4136"/>
    </row>
    <row r="43" spans="2:22" ht="15.95" customHeight="1">
      <c r="C43" s="4050" t="s">
        <v>4557</v>
      </c>
      <c r="D43" s="4050"/>
      <c r="E43" s="200" t="s">
        <v>4558</v>
      </c>
      <c r="F43" s="200" t="s">
        <v>317</v>
      </c>
      <c r="G43" s="9" t="s">
        <v>321</v>
      </c>
      <c r="N43" s="75"/>
      <c r="O43" s="75"/>
      <c r="P43" s="362"/>
      <c r="Q43" s="75"/>
      <c r="R43" s="93"/>
      <c r="S43" s="75"/>
      <c r="T43" s="3982"/>
      <c r="U43" s="3982"/>
      <c r="V43" s="4136"/>
    </row>
    <row r="44" spans="2:22" ht="15.95" customHeight="1">
      <c r="C44" t="s">
        <v>2286</v>
      </c>
      <c r="D44" s="44">
        <v>1</v>
      </c>
      <c r="E44" s="203">
        <v>39090</v>
      </c>
      <c r="F44" s="203">
        <v>39096</v>
      </c>
      <c r="G44" s="223">
        <f>+F44-E44+1</f>
        <v>7</v>
      </c>
      <c r="N44" s="75"/>
      <c r="O44" s="75"/>
      <c r="P44" s="362"/>
      <c r="Q44" s="75"/>
      <c r="R44" s="93"/>
      <c r="S44" s="75"/>
      <c r="T44" s="3982"/>
      <c r="U44" s="3982"/>
      <c r="V44" s="4136"/>
    </row>
    <row r="45" spans="2:22" ht="15.2" customHeight="1">
      <c r="C45" t="s">
        <v>2286</v>
      </c>
      <c r="D45" s="44">
        <v>2</v>
      </c>
      <c r="E45" s="203">
        <v>39097</v>
      </c>
      <c r="F45" s="203">
        <v>39106</v>
      </c>
      <c r="G45" s="223">
        <f>+F45-E45+1</f>
        <v>10</v>
      </c>
      <c r="H45" s="4121" t="s">
        <v>3868</v>
      </c>
      <c r="I45" s="4127">
        <f>+I30/J30</f>
        <v>21.763999999999999</v>
      </c>
      <c r="N45" s="75"/>
      <c r="O45" s="75"/>
      <c r="P45" s="362"/>
      <c r="Q45" s="75"/>
      <c r="R45" s="93"/>
      <c r="S45" s="75"/>
      <c r="T45" s="3982"/>
      <c r="U45" s="3982"/>
      <c r="V45" s="4136"/>
    </row>
    <row r="46" spans="2:22" ht="15.2" customHeight="1">
      <c r="C46" t="s">
        <v>2286</v>
      </c>
      <c r="D46" s="44">
        <v>3</v>
      </c>
      <c r="E46" s="203">
        <v>39107</v>
      </c>
      <c r="F46" s="203">
        <v>39124</v>
      </c>
      <c r="G46" s="223">
        <f>+F46-E46+1</f>
        <v>18</v>
      </c>
      <c r="H46" s="4121"/>
      <c r="I46" s="4128"/>
      <c r="K46" s="4129" t="s">
        <v>3484</v>
      </c>
      <c r="L46" s="4130"/>
      <c r="N46" s="75"/>
      <c r="O46" s="75"/>
      <c r="P46" s="362"/>
      <c r="Q46" s="75"/>
      <c r="R46" s="93"/>
      <c r="S46" s="75"/>
      <c r="T46" s="3982"/>
      <c r="U46" s="3982"/>
      <c r="V46" s="4136"/>
    </row>
    <row r="47" spans="2:22" ht="16.7" customHeight="1">
      <c r="D47" s="44"/>
      <c r="E47" s="224">
        <v>39125</v>
      </c>
      <c r="F47" s="224">
        <v>39134</v>
      </c>
      <c r="G47" s="225" t="s">
        <v>3485</v>
      </c>
      <c r="H47" s="226"/>
      <c r="I47" s="227"/>
      <c r="K47" s="4131"/>
      <c r="L47" s="4132"/>
      <c r="N47" s="3982"/>
      <c r="O47" s="3982"/>
      <c r="P47" s="3982"/>
      <c r="Q47" s="3982"/>
      <c r="R47" s="93"/>
      <c r="S47" s="75"/>
      <c r="T47" s="3982"/>
      <c r="U47" s="3982"/>
      <c r="V47" s="4136"/>
    </row>
    <row r="48" spans="2:22" ht="15.95" customHeight="1">
      <c r="C48" t="s">
        <v>2286</v>
      </c>
      <c r="D48" s="44">
        <v>4</v>
      </c>
      <c r="E48" s="203">
        <v>39135</v>
      </c>
      <c r="F48" s="203">
        <v>39154</v>
      </c>
      <c r="G48" s="223">
        <f t="shared" ref="G48:G53" si="0">+F48-E48+1</f>
        <v>20</v>
      </c>
      <c r="K48" s="4150">
        <f>+I49-I15</f>
        <v>-1271.6820000000002</v>
      </c>
      <c r="L48" s="4151"/>
      <c r="N48" s="75"/>
      <c r="O48" s="75"/>
      <c r="P48" s="362"/>
      <c r="Q48" s="75"/>
      <c r="R48" s="93"/>
      <c r="S48" s="75"/>
      <c r="T48" s="3982"/>
      <c r="U48" s="3982"/>
      <c r="V48" s="4136"/>
    </row>
    <row r="49" spans="1:22" ht="15.2" customHeight="1">
      <c r="C49" t="s">
        <v>2286</v>
      </c>
      <c r="D49" s="44">
        <v>5</v>
      </c>
      <c r="E49" s="203">
        <v>39155</v>
      </c>
      <c r="F49" s="203">
        <v>39184</v>
      </c>
      <c r="G49" s="223">
        <f t="shared" si="0"/>
        <v>30</v>
      </c>
      <c r="H49" s="4121" t="s">
        <v>3486</v>
      </c>
      <c r="I49" s="4148">
        <f>+I45*G56</f>
        <v>2764.0279999999998</v>
      </c>
      <c r="K49" s="4152"/>
      <c r="L49" s="4153"/>
      <c r="N49" s="75"/>
      <c r="O49" s="75"/>
      <c r="P49" s="362"/>
      <c r="Q49" s="75"/>
      <c r="R49" s="93"/>
      <c r="S49" s="75"/>
      <c r="T49" s="3982"/>
      <c r="U49" s="3982"/>
      <c r="V49" s="4136"/>
    </row>
    <row r="50" spans="1:22" ht="15.2" customHeight="1">
      <c r="C50" t="s">
        <v>2286</v>
      </c>
      <c r="D50" s="44">
        <v>6</v>
      </c>
      <c r="E50" s="203">
        <v>39185</v>
      </c>
      <c r="F50" s="203">
        <v>39190</v>
      </c>
      <c r="G50" s="223">
        <f t="shared" si="0"/>
        <v>6</v>
      </c>
      <c r="H50" s="4121"/>
      <c r="I50" s="4149"/>
      <c r="N50" s="75"/>
      <c r="O50" s="75"/>
      <c r="P50" s="362"/>
      <c r="Q50" s="75"/>
      <c r="R50" s="93"/>
      <c r="S50" s="75"/>
      <c r="T50" s="3982"/>
      <c r="U50" s="3982"/>
      <c r="V50" s="4136"/>
    </row>
    <row r="51" spans="1:22" ht="15.2" customHeight="1">
      <c r="C51" t="s">
        <v>2286</v>
      </c>
      <c r="D51" s="44">
        <v>7</v>
      </c>
      <c r="E51" s="203">
        <v>39191</v>
      </c>
      <c r="F51" s="203">
        <v>39205</v>
      </c>
      <c r="G51" s="223">
        <f t="shared" si="0"/>
        <v>15</v>
      </c>
      <c r="N51" s="75"/>
      <c r="O51" s="75"/>
      <c r="P51" s="362"/>
      <c r="Q51" s="75"/>
      <c r="R51" s="93"/>
      <c r="S51" s="75"/>
      <c r="T51" s="3982"/>
      <c r="U51" s="3982"/>
      <c r="V51" s="4136"/>
    </row>
    <row r="52" spans="1:22" ht="15.95" customHeight="1">
      <c r="C52" t="s">
        <v>2286</v>
      </c>
      <c r="D52" s="44">
        <v>8</v>
      </c>
      <c r="E52" s="224">
        <v>39206</v>
      </c>
      <c r="F52" s="224">
        <v>39209</v>
      </c>
      <c r="G52" s="223">
        <f t="shared" si="0"/>
        <v>4</v>
      </c>
      <c r="N52" s="75"/>
      <c r="O52" s="75"/>
      <c r="P52" s="362"/>
      <c r="Q52" s="75"/>
      <c r="R52" s="93"/>
      <c r="S52" s="75"/>
      <c r="T52" s="3982"/>
      <c r="U52" s="3982"/>
      <c r="V52" s="4136"/>
    </row>
    <row r="53" spans="1:22" ht="15.95" customHeight="1">
      <c r="C53" t="s">
        <v>2286</v>
      </c>
      <c r="D53" s="44">
        <v>9</v>
      </c>
      <c r="E53" s="203">
        <v>39210</v>
      </c>
      <c r="F53" s="203">
        <v>39216</v>
      </c>
      <c r="G53" s="223">
        <f t="shared" si="0"/>
        <v>7</v>
      </c>
      <c r="N53" s="3982"/>
      <c r="O53" s="3982"/>
      <c r="P53" s="3982"/>
      <c r="Q53" s="3982"/>
      <c r="R53" s="93"/>
      <c r="S53" s="75"/>
      <c r="T53" s="3982"/>
      <c r="U53" s="3982"/>
      <c r="V53" s="4136"/>
    </row>
    <row r="54" spans="1:22" ht="15.2" customHeight="1">
      <c r="C54" t="s">
        <v>2286</v>
      </c>
      <c r="D54" s="44">
        <v>10</v>
      </c>
      <c r="E54" s="203">
        <v>39217</v>
      </c>
      <c r="F54" s="203">
        <v>39221</v>
      </c>
      <c r="G54" s="223">
        <v>5</v>
      </c>
      <c r="N54" s="75"/>
      <c r="O54" s="75"/>
      <c r="P54" s="362"/>
      <c r="Q54" s="75"/>
      <c r="R54" s="93"/>
      <c r="S54" s="75"/>
      <c r="T54" s="3982"/>
      <c r="U54" s="3982"/>
      <c r="V54" s="4136"/>
    </row>
    <row r="55" spans="1:22" ht="15.2" customHeight="1">
      <c r="C55" t="s">
        <v>2286</v>
      </c>
      <c r="D55" s="44">
        <v>11</v>
      </c>
      <c r="E55" s="203">
        <v>39222</v>
      </c>
      <c r="F55" s="203">
        <v>39226</v>
      </c>
      <c r="G55" s="223">
        <v>5</v>
      </c>
      <c r="N55" s="75"/>
      <c r="O55" s="75"/>
      <c r="P55" s="362"/>
      <c r="Q55" s="75"/>
      <c r="R55" s="93"/>
      <c r="S55" s="75"/>
      <c r="T55" s="3982"/>
      <c r="U55" s="3982"/>
      <c r="V55" s="4136"/>
    </row>
    <row r="56" spans="1:22" ht="16.7" customHeight="1">
      <c r="D56" s="44"/>
      <c r="E56" s="4137" t="s">
        <v>4044</v>
      </c>
      <c r="F56" s="4137"/>
      <c r="G56" s="228">
        <f>SUM(G44:G55)</f>
        <v>127</v>
      </c>
      <c r="N56" s="75"/>
      <c r="O56" s="75"/>
      <c r="P56" s="362"/>
      <c r="Q56" s="75"/>
      <c r="R56" s="93"/>
      <c r="S56" s="75"/>
      <c r="T56" s="3982"/>
      <c r="U56" s="3982"/>
      <c r="V56" s="4136"/>
    </row>
    <row r="57" spans="1:22" ht="15.95" customHeight="1">
      <c r="D57" s="44"/>
      <c r="N57" s="3982"/>
      <c r="O57" s="3982"/>
      <c r="P57" s="3982"/>
      <c r="Q57" s="3982"/>
      <c r="R57" s="93"/>
      <c r="S57" s="75"/>
      <c r="T57" s="3982"/>
      <c r="U57" s="3982"/>
      <c r="V57" s="4136"/>
    </row>
    <row r="58" spans="1:22" ht="15.2" customHeight="1">
      <c r="D58" s="44"/>
      <c r="N58" s="75"/>
      <c r="O58" s="75"/>
      <c r="P58" s="362"/>
      <c r="Q58" s="75"/>
      <c r="R58" s="93"/>
      <c r="S58" s="75"/>
      <c r="T58" s="3982"/>
      <c r="U58" s="3982"/>
      <c r="V58" s="4136"/>
    </row>
    <row r="59" spans="1:22" ht="15.2" customHeight="1">
      <c r="D59" s="44"/>
      <c r="N59" s="75"/>
      <c r="O59" s="75"/>
      <c r="P59" s="362"/>
      <c r="Q59" s="75"/>
      <c r="R59" s="93"/>
      <c r="S59" s="75"/>
      <c r="T59" s="3982"/>
      <c r="U59" s="3982"/>
      <c r="V59" s="4136"/>
    </row>
    <row r="60" spans="1:22" ht="15.2" customHeight="1">
      <c r="D60" s="44"/>
      <c r="N60" s="75"/>
      <c r="O60" s="75"/>
      <c r="P60" s="362"/>
      <c r="Q60" s="75"/>
      <c r="R60" s="93"/>
      <c r="S60" s="75"/>
      <c r="T60" s="75"/>
      <c r="U60" s="75"/>
      <c r="V60" s="75"/>
    </row>
    <row r="61" spans="1:22" ht="15.95" customHeight="1">
      <c r="D61" s="44"/>
      <c r="N61" s="3982"/>
      <c r="O61" s="3982"/>
      <c r="P61" s="3982"/>
      <c r="Q61" s="3982"/>
      <c r="R61" s="93"/>
      <c r="S61" s="75"/>
      <c r="T61" s="75"/>
      <c r="U61" s="75"/>
      <c r="V61" s="75"/>
    </row>
    <row r="62" spans="1:22">
      <c r="A62" s="313"/>
      <c r="B62" s="314"/>
      <c r="C62" s="313"/>
      <c r="D62" s="314"/>
      <c r="E62" s="315"/>
      <c r="F62" s="315"/>
      <c r="G62" s="316"/>
      <c r="H62" s="316"/>
      <c r="I62" s="317"/>
      <c r="J62" s="314"/>
      <c r="K62" s="313"/>
      <c r="L62" s="313"/>
      <c r="N62" s="75"/>
      <c r="O62" s="75"/>
      <c r="P62" s="75"/>
      <c r="Q62" s="75"/>
      <c r="R62" s="75"/>
      <c r="S62" s="75"/>
      <c r="T62" s="75"/>
      <c r="U62" s="75"/>
      <c r="V62" s="75"/>
    </row>
    <row r="63" spans="1:22" ht="15.2" customHeight="1">
      <c r="A63" s="313"/>
      <c r="B63" s="4133" t="s">
        <v>4556</v>
      </c>
      <c r="C63" s="4133"/>
      <c r="D63" s="4133"/>
      <c r="E63" s="4133"/>
      <c r="F63" s="4133"/>
      <c r="G63" s="4133"/>
      <c r="H63" s="4133"/>
      <c r="I63" s="4133"/>
      <c r="J63" s="4133"/>
      <c r="K63" s="4133"/>
      <c r="L63" s="4133"/>
      <c r="N63" s="75"/>
      <c r="O63" s="75"/>
      <c r="P63" s="75"/>
      <c r="Q63" s="75"/>
      <c r="R63" s="75"/>
      <c r="S63" s="75"/>
      <c r="T63" s="75"/>
      <c r="U63" s="75"/>
      <c r="V63" s="75"/>
    </row>
    <row r="64" spans="1:22">
      <c r="A64" s="313"/>
      <c r="B64" s="314"/>
      <c r="C64" s="313"/>
      <c r="D64" s="314"/>
      <c r="E64" s="315"/>
      <c r="F64" s="315"/>
      <c r="G64" s="316"/>
      <c r="H64" s="316"/>
      <c r="I64" s="317"/>
      <c r="J64" s="314"/>
      <c r="K64" s="313"/>
      <c r="L64" s="313"/>
      <c r="N64" s="75"/>
      <c r="O64" s="75"/>
      <c r="P64" s="75"/>
      <c r="Q64" s="75"/>
      <c r="R64" s="75"/>
      <c r="S64" s="75"/>
      <c r="T64" s="75"/>
      <c r="U64" s="75"/>
      <c r="V64" s="75"/>
    </row>
    <row r="65" spans="1:22">
      <c r="A65" s="313"/>
      <c r="B65" s="314"/>
      <c r="C65" s="4122" t="s">
        <v>4557</v>
      </c>
      <c r="D65" s="4122"/>
      <c r="E65" s="319" t="s">
        <v>4558</v>
      </c>
      <c r="F65" s="319" t="s">
        <v>317</v>
      </c>
      <c r="G65" s="320" t="s">
        <v>318</v>
      </c>
      <c r="H65" s="320" t="s">
        <v>319</v>
      </c>
      <c r="I65" s="320" t="s">
        <v>320</v>
      </c>
      <c r="J65" s="318" t="s">
        <v>321</v>
      </c>
      <c r="K65" s="318" t="s">
        <v>3754</v>
      </c>
      <c r="L65" s="321" t="s">
        <v>629</v>
      </c>
      <c r="N65" s="75"/>
      <c r="O65" s="75"/>
      <c r="P65" s="75"/>
      <c r="Q65" s="75"/>
      <c r="R65" s="75"/>
      <c r="S65" s="75"/>
      <c r="T65" s="75"/>
      <c r="U65" s="75"/>
      <c r="V65" s="75"/>
    </row>
    <row r="66" spans="1:22" ht="15.2" customHeight="1">
      <c r="A66" s="313"/>
      <c r="B66" s="314" t="s">
        <v>39</v>
      </c>
      <c r="C66" s="313" t="s">
        <v>552</v>
      </c>
      <c r="D66" s="322">
        <v>3</v>
      </c>
      <c r="E66" s="323">
        <v>39097</v>
      </c>
      <c r="F66" s="323">
        <v>39103</v>
      </c>
      <c r="G66" s="324">
        <v>381.31</v>
      </c>
      <c r="H66" s="324">
        <v>48.96</v>
      </c>
      <c r="I66" s="324">
        <v>332.35</v>
      </c>
      <c r="J66" s="325">
        <v>7</v>
      </c>
      <c r="K66" s="325">
        <v>54.47</v>
      </c>
      <c r="L66" s="313" t="s">
        <v>7</v>
      </c>
      <c r="N66" s="75"/>
      <c r="O66" s="75"/>
      <c r="P66" s="75"/>
      <c r="Q66" s="75"/>
      <c r="R66" s="75"/>
      <c r="S66" s="75"/>
      <c r="T66" s="75"/>
      <c r="U66" s="75"/>
      <c r="V66" s="75"/>
    </row>
    <row r="67" spans="1:22" ht="15.2" customHeight="1">
      <c r="A67" s="313"/>
      <c r="B67" s="314" t="s">
        <v>39</v>
      </c>
      <c r="C67" s="313" t="s">
        <v>552</v>
      </c>
      <c r="D67" s="322">
        <v>4</v>
      </c>
      <c r="E67" s="323">
        <v>39104</v>
      </c>
      <c r="F67" s="323">
        <v>39110</v>
      </c>
      <c r="G67" s="324">
        <v>163.41999999999999</v>
      </c>
      <c r="H67" s="324">
        <v>20.98</v>
      </c>
      <c r="I67" s="324">
        <v>142.44</v>
      </c>
      <c r="J67" s="325">
        <v>3</v>
      </c>
      <c r="K67" s="325">
        <v>54.47</v>
      </c>
      <c r="L67" s="313" t="s">
        <v>7</v>
      </c>
      <c r="N67" s="75"/>
      <c r="O67" s="75"/>
      <c r="P67" s="75"/>
      <c r="Q67" s="75"/>
      <c r="R67" s="75"/>
      <c r="S67" s="75"/>
      <c r="T67" s="75"/>
      <c r="U67" s="75"/>
      <c r="V67" s="75"/>
    </row>
    <row r="68" spans="1:22" ht="5.45" customHeight="1">
      <c r="A68" s="313"/>
      <c r="B68" s="314"/>
      <c r="C68" s="325"/>
      <c r="D68" s="325"/>
      <c r="E68" s="323"/>
      <c r="F68" s="323"/>
      <c r="G68" s="324"/>
      <c r="H68" s="324"/>
      <c r="I68" s="324"/>
      <c r="J68" s="325"/>
      <c r="K68" s="325"/>
      <c r="L68" s="313"/>
      <c r="N68" s="75"/>
      <c r="O68" s="75"/>
      <c r="P68" s="75"/>
      <c r="Q68" s="75"/>
      <c r="R68" s="75"/>
      <c r="S68" s="75"/>
      <c r="T68" s="75"/>
      <c r="U68" s="75"/>
      <c r="V68" s="75"/>
    </row>
    <row r="69" spans="1:22" ht="15.2" customHeight="1">
      <c r="A69" s="313"/>
      <c r="B69" s="314" t="s">
        <v>553</v>
      </c>
      <c r="C69" s="313" t="s">
        <v>552</v>
      </c>
      <c r="D69" s="322">
        <v>9</v>
      </c>
      <c r="E69" s="315">
        <v>39139</v>
      </c>
      <c r="F69" s="315">
        <v>39145</v>
      </c>
      <c r="G69" s="316">
        <v>871.57</v>
      </c>
      <c r="H69" s="316">
        <v>111.91</v>
      </c>
      <c r="I69" s="317">
        <v>759.66</v>
      </c>
      <c r="J69" s="314">
        <v>16</v>
      </c>
      <c r="K69" s="325">
        <v>54.47</v>
      </c>
      <c r="L69" s="313" t="s">
        <v>1272</v>
      </c>
      <c r="N69" s="75"/>
      <c r="O69" s="75"/>
      <c r="P69" s="75"/>
      <c r="Q69" s="75"/>
      <c r="R69" s="75"/>
      <c r="S69" s="75"/>
      <c r="T69" s="75"/>
      <c r="U69" s="75"/>
      <c r="V69" s="75"/>
    </row>
    <row r="70" spans="1:22" ht="15.95" customHeight="1">
      <c r="A70" s="313"/>
      <c r="B70" s="314" t="s">
        <v>553</v>
      </c>
      <c r="C70" s="313" t="s">
        <v>552</v>
      </c>
      <c r="D70" s="322">
        <v>10</v>
      </c>
      <c r="E70" s="315">
        <v>39146</v>
      </c>
      <c r="F70" s="315">
        <v>39152</v>
      </c>
      <c r="G70" s="316">
        <v>490.26</v>
      </c>
      <c r="H70" s="316">
        <v>62.95</v>
      </c>
      <c r="I70" s="317">
        <v>427.31</v>
      </c>
      <c r="J70" s="314">
        <v>9</v>
      </c>
      <c r="K70" s="325">
        <v>54.47</v>
      </c>
      <c r="L70" s="313" t="s">
        <v>1272</v>
      </c>
      <c r="N70" s="75"/>
      <c r="O70" s="75"/>
      <c r="P70" s="75"/>
      <c r="Q70" s="75"/>
      <c r="R70" s="75"/>
      <c r="S70" s="75"/>
      <c r="T70" s="75"/>
      <c r="U70" s="75"/>
      <c r="V70" s="75"/>
    </row>
    <row r="71" spans="1:22" ht="15.95" customHeight="1">
      <c r="A71" s="313"/>
      <c r="B71" s="314" t="s">
        <v>553</v>
      </c>
      <c r="C71" s="313" t="s">
        <v>552</v>
      </c>
      <c r="D71" s="322">
        <v>11</v>
      </c>
      <c r="E71" s="315">
        <v>39153</v>
      </c>
      <c r="F71" s="315">
        <v>39159</v>
      </c>
      <c r="G71" s="316">
        <v>544.73</v>
      </c>
      <c r="H71" s="316">
        <v>69.94</v>
      </c>
      <c r="I71" s="317">
        <v>474.79</v>
      </c>
      <c r="J71" s="314">
        <v>10</v>
      </c>
      <c r="K71" s="325">
        <v>54.47</v>
      </c>
      <c r="L71" s="313" t="s">
        <v>1272</v>
      </c>
      <c r="N71" s="75"/>
      <c r="O71" s="75"/>
      <c r="P71" s="75"/>
      <c r="Q71" s="75"/>
      <c r="R71" s="75"/>
      <c r="S71" s="75"/>
      <c r="T71" s="75"/>
      <c r="U71" s="75"/>
      <c r="V71" s="75"/>
    </row>
    <row r="72" spans="1:22" ht="15.2" customHeight="1">
      <c r="A72" s="313"/>
      <c r="B72" s="314" t="s">
        <v>553</v>
      </c>
      <c r="C72" s="313" t="s">
        <v>552</v>
      </c>
      <c r="D72" s="322">
        <v>12</v>
      </c>
      <c r="E72" s="315">
        <v>39160</v>
      </c>
      <c r="F72" s="315">
        <v>39166</v>
      </c>
      <c r="G72" s="316">
        <v>544.73</v>
      </c>
      <c r="H72" s="316">
        <v>69.94</v>
      </c>
      <c r="I72" s="317">
        <v>474.79</v>
      </c>
      <c r="J72" s="314">
        <v>10</v>
      </c>
      <c r="K72" s="325">
        <v>54.47</v>
      </c>
      <c r="L72" s="313" t="s">
        <v>1272</v>
      </c>
      <c r="N72" s="75"/>
      <c r="O72" s="75"/>
      <c r="P72" s="75"/>
      <c r="Q72" s="75"/>
      <c r="R72" s="75"/>
      <c r="S72" s="75"/>
      <c r="T72" s="75"/>
      <c r="U72" s="75"/>
      <c r="V72" s="75"/>
    </row>
    <row r="73" spans="1:22" ht="15.2" customHeight="1">
      <c r="A73" s="313"/>
      <c r="B73" s="326" t="s">
        <v>553</v>
      </c>
      <c r="C73" s="327" t="s">
        <v>552</v>
      </c>
      <c r="D73" s="328">
        <v>13</v>
      </c>
      <c r="E73" s="329">
        <v>39167</v>
      </c>
      <c r="F73" s="329">
        <v>39173</v>
      </c>
      <c r="G73" s="330">
        <v>544.73</v>
      </c>
      <c r="H73" s="330">
        <v>69.94</v>
      </c>
      <c r="I73" s="331">
        <v>474.79</v>
      </c>
      <c r="J73" s="326">
        <v>10</v>
      </c>
      <c r="K73" s="326">
        <v>54.47</v>
      </c>
      <c r="L73" s="313" t="s">
        <v>1272</v>
      </c>
      <c r="N73" s="75"/>
      <c r="O73" s="75"/>
      <c r="P73" s="75"/>
      <c r="Q73" s="75"/>
      <c r="R73" s="75"/>
      <c r="S73" s="75"/>
      <c r="T73" s="75"/>
      <c r="U73" s="75"/>
      <c r="V73" s="75"/>
    </row>
    <row r="74" spans="1:22" ht="15.95" customHeight="1">
      <c r="A74" s="313"/>
      <c r="B74" s="314" t="s">
        <v>1273</v>
      </c>
      <c r="C74" s="313" t="s">
        <v>552</v>
      </c>
      <c r="D74" s="322">
        <v>14</v>
      </c>
      <c r="E74" s="315">
        <v>39174</v>
      </c>
      <c r="F74" s="315">
        <v>39180</v>
      </c>
      <c r="G74" s="316">
        <v>544.73</v>
      </c>
      <c r="H74" s="316">
        <v>69.94</v>
      </c>
      <c r="I74" s="317">
        <v>474.79</v>
      </c>
      <c r="J74" s="314">
        <v>10</v>
      </c>
      <c r="K74" s="325">
        <v>54.47</v>
      </c>
      <c r="L74" s="313" t="s">
        <v>1272</v>
      </c>
      <c r="N74" s="75"/>
      <c r="O74" s="75"/>
      <c r="P74" s="75"/>
      <c r="Q74" s="75"/>
      <c r="R74" s="75"/>
      <c r="S74" s="75"/>
      <c r="T74" s="75"/>
      <c r="U74" s="75"/>
      <c r="V74" s="75"/>
    </row>
    <row r="75" spans="1:22" ht="16.7" customHeight="1" thickBot="1">
      <c r="A75" s="313"/>
      <c r="B75" s="314" t="s">
        <v>1273</v>
      </c>
      <c r="C75" s="313" t="s">
        <v>552</v>
      </c>
      <c r="D75" s="322">
        <v>15</v>
      </c>
      <c r="E75" s="315">
        <v>39181</v>
      </c>
      <c r="F75" s="315">
        <v>39187</v>
      </c>
      <c r="G75" s="316">
        <v>544.73</v>
      </c>
      <c r="H75" s="316">
        <v>69.94</v>
      </c>
      <c r="I75" s="317">
        <v>474.79</v>
      </c>
      <c r="J75" s="314">
        <v>10</v>
      </c>
      <c r="K75" s="325">
        <v>54.47</v>
      </c>
      <c r="L75" s="313" t="s">
        <v>1272</v>
      </c>
      <c r="N75" s="75"/>
      <c r="O75" s="75"/>
      <c r="P75" s="75"/>
      <c r="Q75" s="75"/>
      <c r="R75" s="75"/>
      <c r="S75" s="75"/>
      <c r="T75" s="75"/>
      <c r="U75" s="75"/>
      <c r="V75" s="75"/>
    </row>
    <row r="76" spans="1:22" ht="16.7" customHeight="1" thickBot="1">
      <c r="A76" s="313"/>
      <c r="B76" s="314"/>
      <c r="C76" s="313"/>
      <c r="D76" s="322"/>
      <c r="E76" s="315"/>
      <c r="F76" s="315"/>
      <c r="G76" s="4124" t="s">
        <v>13</v>
      </c>
      <c r="H76" s="4125"/>
      <c r="I76" s="332">
        <f>SUM(I66:I75)</f>
        <v>4035.71</v>
      </c>
      <c r="J76" s="333">
        <f>SUM(J66:J75)</f>
        <v>85</v>
      </c>
      <c r="K76" s="334" t="s">
        <v>14</v>
      </c>
      <c r="L76" s="313"/>
      <c r="N76" s="75"/>
      <c r="O76" s="75"/>
      <c r="P76" s="75"/>
      <c r="Q76" s="75"/>
      <c r="R76" s="75"/>
      <c r="S76" s="75"/>
      <c r="T76" s="75"/>
      <c r="U76" s="75"/>
      <c r="V76" s="75"/>
    </row>
    <row r="77" spans="1:22" ht="15.2" customHeight="1">
      <c r="A77" s="313"/>
      <c r="B77" s="4126" t="s">
        <v>2245</v>
      </c>
      <c r="C77" s="4126"/>
      <c r="D77" s="4126"/>
      <c r="E77" s="4126"/>
      <c r="F77" s="4126"/>
      <c r="G77" s="4126"/>
      <c r="H77" s="4126"/>
      <c r="I77" s="4126"/>
      <c r="J77" s="4126"/>
      <c r="K77" s="4126"/>
      <c r="L77" s="4126"/>
    </row>
    <row r="78" spans="1:22" ht="15.2" customHeight="1">
      <c r="A78" s="313"/>
      <c r="B78" s="4126"/>
      <c r="C78" s="4126"/>
      <c r="D78" s="4126"/>
      <c r="E78" s="4126"/>
      <c r="F78" s="4126"/>
      <c r="G78" s="4126"/>
      <c r="H78" s="4126"/>
      <c r="I78" s="4126"/>
      <c r="J78" s="4126"/>
      <c r="K78" s="4126"/>
      <c r="L78" s="4126"/>
    </row>
    <row r="79" spans="1:22" ht="15.95" customHeight="1">
      <c r="A79" s="313"/>
      <c r="B79" s="314"/>
      <c r="C79" s="313"/>
      <c r="D79" s="322"/>
      <c r="E79" s="315"/>
      <c r="F79" s="315"/>
      <c r="G79" s="316"/>
      <c r="H79" s="316"/>
      <c r="I79" s="317"/>
      <c r="J79" s="314"/>
      <c r="K79" s="313"/>
      <c r="L79" s="313"/>
    </row>
    <row r="80" spans="1:22" ht="15.95" customHeight="1">
      <c r="A80" s="313"/>
      <c r="B80" s="314"/>
      <c r="C80" s="313"/>
      <c r="D80" s="322"/>
      <c r="E80" s="315"/>
      <c r="F80" s="315"/>
      <c r="G80" s="316"/>
      <c r="H80" s="316"/>
      <c r="I80" s="317"/>
      <c r="J80" s="314"/>
      <c r="K80" s="313"/>
      <c r="L80" s="313"/>
    </row>
    <row r="81" spans="1:22" ht="15.2" customHeight="1">
      <c r="A81" s="313"/>
      <c r="B81" s="314"/>
      <c r="C81" s="4122" t="s">
        <v>4557</v>
      </c>
      <c r="D81" s="4122"/>
      <c r="E81" s="319" t="s">
        <v>4558</v>
      </c>
      <c r="F81" s="319" t="s">
        <v>317</v>
      </c>
      <c r="G81" s="320" t="s">
        <v>318</v>
      </c>
      <c r="H81" s="320" t="s">
        <v>319</v>
      </c>
      <c r="I81" s="320" t="s">
        <v>320</v>
      </c>
      <c r="J81" s="318" t="s">
        <v>321</v>
      </c>
      <c r="K81" s="335" t="s">
        <v>3754</v>
      </c>
      <c r="L81" s="321" t="s">
        <v>629</v>
      </c>
    </row>
    <row r="82" spans="1:22" ht="18.75" thickBot="1">
      <c r="A82" s="313"/>
      <c r="B82" s="336" t="s">
        <v>1273</v>
      </c>
      <c r="C82" s="337" t="s">
        <v>552</v>
      </c>
      <c r="D82" s="338">
        <v>17</v>
      </c>
      <c r="E82" s="339">
        <v>39195</v>
      </c>
      <c r="F82" s="339">
        <v>39201</v>
      </c>
      <c r="G82" s="340">
        <f>24.97*10</f>
        <v>249.7</v>
      </c>
      <c r="H82" s="341">
        <v>32.06</v>
      </c>
      <c r="I82" s="342">
        <f>+G82-H82</f>
        <v>217.64</v>
      </c>
      <c r="J82" s="343">
        <v>10</v>
      </c>
      <c r="K82" s="344">
        <f>+G82/J82</f>
        <v>24.97</v>
      </c>
      <c r="L82" s="345" t="s">
        <v>748</v>
      </c>
    </row>
    <row r="83" spans="1:22" ht="18.75" thickTop="1">
      <c r="A83" s="313"/>
      <c r="B83" s="314" t="s">
        <v>2242</v>
      </c>
      <c r="C83" s="313" t="s">
        <v>552</v>
      </c>
      <c r="D83" s="322">
        <v>18</v>
      </c>
      <c r="E83" s="315">
        <v>39202</v>
      </c>
      <c r="F83" s="315">
        <f>6+E83</f>
        <v>39208</v>
      </c>
      <c r="G83" s="346">
        <f>+G82/10*J83</f>
        <v>249.7</v>
      </c>
      <c r="H83" s="316">
        <f>+H82/10*J83</f>
        <v>32.06</v>
      </c>
      <c r="I83" s="347">
        <f>+I82/10*J83</f>
        <v>217.64</v>
      </c>
      <c r="J83" s="348">
        <v>10</v>
      </c>
      <c r="K83" s="349">
        <f>+G83/J83</f>
        <v>24.97</v>
      </c>
      <c r="L83" s="350" t="s">
        <v>3984</v>
      </c>
    </row>
    <row r="84" spans="1:22" ht="18">
      <c r="A84" s="313"/>
      <c r="B84" s="314" t="s">
        <v>2242</v>
      </c>
      <c r="C84" s="313" t="s">
        <v>552</v>
      </c>
      <c r="D84" s="322">
        <v>19</v>
      </c>
      <c r="E84" s="315">
        <f>1+F83</f>
        <v>39209</v>
      </c>
      <c r="F84" s="315">
        <f>6+E84</f>
        <v>39215</v>
      </c>
      <c r="G84" s="346">
        <f>+G82/10*J84</f>
        <v>249.7</v>
      </c>
      <c r="H84" s="316">
        <f>+H82/10*J84</f>
        <v>32.06</v>
      </c>
      <c r="I84" s="347">
        <f>+I82/10*J84</f>
        <v>217.64</v>
      </c>
      <c r="J84" s="348">
        <v>10</v>
      </c>
      <c r="K84" s="349">
        <f>+G84/J84</f>
        <v>24.97</v>
      </c>
      <c r="L84" s="350" t="s">
        <v>3984</v>
      </c>
    </row>
    <row r="85" spans="1:22" ht="18.75" thickBot="1">
      <c r="A85" s="313"/>
      <c r="B85" s="314" t="s">
        <v>2242</v>
      </c>
      <c r="C85" s="313" t="s">
        <v>552</v>
      </c>
      <c r="D85" s="322">
        <v>20</v>
      </c>
      <c r="E85" s="315">
        <f>1+F84</f>
        <v>39216</v>
      </c>
      <c r="F85" s="315">
        <f>6+E85</f>
        <v>39222</v>
      </c>
      <c r="G85" s="346">
        <f>+G82/10*J85</f>
        <v>199.76</v>
      </c>
      <c r="H85" s="316">
        <f>+H82/10*J85</f>
        <v>25.648000000000003</v>
      </c>
      <c r="I85" s="347">
        <f>+I82/10*J85</f>
        <v>174.11199999999999</v>
      </c>
      <c r="J85" s="348">
        <v>8</v>
      </c>
      <c r="K85" s="349">
        <f>+G85/J85</f>
        <v>24.97</v>
      </c>
      <c r="L85" s="350" t="s">
        <v>3984</v>
      </c>
      <c r="N85" s="4141" t="s">
        <v>1599</v>
      </c>
      <c r="O85" s="4141"/>
      <c r="P85" s="4141"/>
      <c r="Q85" s="4141"/>
      <c r="R85" s="4141"/>
      <c r="S85" s="4141"/>
      <c r="T85" s="4141"/>
      <c r="U85" s="4141"/>
    </row>
    <row r="86" spans="1:22" ht="15.95" customHeight="1">
      <c r="A86" s="313"/>
      <c r="B86" s="314"/>
      <c r="C86" s="313"/>
      <c r="D86" s="322"/>
      <c r="E86" s="315"/>
      <c r="F86" s="315"/>
      <c r="G86" s="316"/>
      <c r="H86" s="316"/>
      <c r="I86" s="317"/>
      <c r="J86" s="314"/>
      <c r="K86" s="313"/>
      <c r="L86" s="313"/>
      <c r="N86" s="229"/>
      <c r="O86" s="230"/>
      <c r="P86" s="230"/>
      <c r="Q86" s="230"/>
      <c r="R86" s="231"/>
      <c r="S86" s="230"/>
      <c r="T86" s="230"/>
      <c r="U86" s="230"/>
      <c r="V86" s="4138" t="s">
        <v>586</v>
      </c>
    </row>
    <row r="87" spans="1:22" ht="15.95" customHeight="1">
      <c r="A87" s="313"/>
      <c r="B87" s="314"/>
      <c r="C87" s="313"/>
      <c r="D87" s="322"/>
      <c r="E87" s="315"/>
      <c r="F87" s="315"/>
      <c r="G87" s="316"/>
      <c r="H87" s="351" t="s">
        <v>2</v>
      </c>
      <c r="I87" s="352"/>
      <c r="J87" s="318">
        <f>J76+J82+J83+J84+J85</f>
        <v>123</v>
      </c>
      <c r="K87" s="313"/>
      <c r="L87" s="313"/>
      <c r="N87" s="4092" t="s">
        <v>1600</v>
      </c>
      <c r="O87" s="4021" t="s">
        <v>4192</v>
      </c>
      <c r="P87" s="4050" t="s">
        <v>2983</v>
      </c>
      <c r="Q87" s="4050" t="s">
        <v>273</v>
      </c>
      <c r="R87" s="4116" t="s">
        <v>4590</v>
      </c>
      <c r="S87" s="4050" t="s">
        <v>4591</v>
      </c>
      <c r="T87" s="4050" t="s">
        <v>4592</v>
      </c>
      <c r="U87" s="3915"/>
      <c r="V87" s="4139"/>
    </row>
    <row r="88" spans="1:22" ht="15.2" customHeight="1" thickBot="1">
      <c r="A88" s="313"/>
      <c r="B88" s="4100" t="s">
        <v>884</v>
      </c>
      <c r="C88" s="4100"/>
      <c r="D88" s="4100"/>
      <c r="E88" s="4100"/>
      <c r="F88" s="4100"/>
      <c r="G88" s="4100"/>
      <c r="H88" s="4100"/>
      <c r="I88" s="4100"/>
      <c r="J88" s="4100"/>
      <c r="K88" s="4100"/>
      <c r="L88" s="4100"/>
      <c r="N88" s="4115"/>
      <c r="O88" s="4142"/>
      <c r="P88" s="4064"/>
      <c r="Q88" s="4064"/>
      <c r="R88" s="4117"/>
      <c r="S88" s="4064"/>
      <c r="T88" s="63" t="s">
        <v>4593</v>
      </c>
      <c r="U88" s="123" t="s">
        <v>4594</v>
      </c>
      <c r="V88" s="4140"/>
    </row>
    <row r="89" spans="1:22" ht="15.2" customHeight="1">
      <c r="A89" s="313"/>
      <c r="B89" s="4100"/>
      <c r="C89" s="4100"/>
      <c r="D89" s="4100"/>
      <c r="E89" s="4100"/>
      <c r="F89" s="4100"/>
      <c r="G89" s="4100"/>
      <c r="H89" s="4100"/>
      <c r="I89" s="4100"/>
      <c r="J89" s="4100"/>
      <c r="K89" s="4100"/>
      <c r="L89" s="4100"/>
      <c r="N89" s="4065" t="s">
        <v>4595</v>
      </c>
      <c r="O89" s="4058"/>
      <c r="P89" s="4058"/>
      <c r="Q89" s="4058"/>
      <c r="R89" s="25">
        <v>2006010</v>
      </c>
      <c r="S89" s="232"/>
      <c r="T89" s="4058" t="s">
        <v>4596</v>
      </c>
      <c r="U89" s="4058">
        <f>SUM(Q89:Q93)</f>
        <v>219.05</v>
      </c>
      <c r="V89" s="4118">
        <v>0</v>
      </c>
    </row>
    <row r="90" spans="1:22" ht="15.2" customHeight="1">
      <c r="A90" s="313"/>
      <c r="B90" s="353"/>
      <c r="C90" s="353"/>
      <c r="D90" s="353"/>
      <c r="E90" s="353"/>
      <c r="F90" s="353"/>
      <c r="G90" s="353"/>
      <c r="H90" s="353"/>
      <c r="I90" s="353"/>
      <c r="J90" s="353"/>
      <c r="K90" s="353"/>
      <c r="L90" s="353"/>
      <c r="N90" s="4092" t="s">
        <v>4595</v>
      </c>
      <c r="O90" s="4050"/>
      <c r="P90" s="4050"/>
      <c r="Q90" s="4050"/>
      <c r="R90" s="9">
        <v>2006020</v>
      </c>
      <c r="S90" s="7"/>
      <c r="T90" s="4050"/>
      <c r="U90" s="4050"/>
      <c r="V90" s="4119"/>
    </row>
    <row r="91" spans="1:22" ht="15.2" customHeight="1">
      <c r="A91" s="313"/>
      <c r="B91" s="353"/>
      <c r="C91" s="353"/>
      <c r="D91" s="353"/>
      <c r="E91" s="353"/>
      <c r="F91" s="353"/>
      <c r="G91" s="353"/>
      <c r="H91" s="353"/>
      <c r="I91" s="353"/>
      <c r="J91" s="353"/>
      <c r="K91" s="353"/>
      <c r="L91" s="353"/>
      <c r="N91" s="4092" t="s">
        <v>4595</v>
      </c>
      <c r="O91" s="4050"/>
      <c r="P91" s="4050"/>
      <c r="Q91" s="4050"/>
      <c r="R91" s="9">
        <v>2006030</v>
      </c>
      <c r="S91" s="7"/>
      <c r="T91" s="4050"/>
      <c r="U91" s="4050"/>
      <c r="V91" s="4119"/>
    </row>
    <row r="92" spans="1:22" ht="15.2" customHeight="1">
      <c r="A92" s="313"/>
      <c r="B92" s="4123" t="s">
        <v>2285</v>
      </c>
      <c r="C92" s="4123"/>
      <c r="D92" s="4123"/>
      <c r="E92" s="4123"/>
      <c r="F92" s="4123"/>
      <c r="G92" s="4123"/>
      <c r="H92" s="4123"/>
      <c r="I92" s="4123"/>
      <c r="J92" s="4123"/>
      <c r="K92" s="4123"/>
      <c r="L92" s="4123"/>
      <c r="N92" s="4092" t="s">
        <v>4595</v>
      </c>
      <c r="O92" s="4050"/>
      <c r="P92" s="4050"/>
      <c r="Q92" s="4050"/>
      <c r="R92" s="9">
        <v>2006040</v>
      </c>
      <c r="S92" s="7"/>
      <c r="T92" s="4050"/>
      <c r="U92" s="4050"/>
      <c r="V92" s="4119"/>
    </row>
    <row r="93" spans="1:22" ht="15.2" customHeight="1" thickBot="1">
      <c r="A93" s="313"/>
      <c r="B93" s="4123"/>
      <c r="C93" s="4123"/>
      <c r="D93" s="4123"/>
      <c r="E93" s="4123"/>
      <c r="F93" s="4123"/>
      <c r="G93" s="4123"/>
      <c r="H93" s="4123"/>
      <c r="I93" s="4123"/>
      <c r="J93" s="4123"/>
      <c r="K93" s="4123"/>
      <c r="L93" s="4123"/>
      <c r="N93" s="233" t="s">
        <v>1137</v>
      </c>
      <c r="O93" s="218" t="s">
        <v>4186</v>
      </c>
      <c r="P93" s="234">
        <v>37263</v>
      </c>
      <c r="Q93" s="218">
        <v>219.05</v>
      </c>
      <c r="R93" s="95">
        <v>2006050</v>
      </c>
      <c r="S93" s="218"/>
      <c r="T93" s="4091"/>
      <c r="U93" s="4091"/>
      <c r="V93" s="4120"/>
    </row>
    <row r="94" spans="1:22" ht="15.95" customHeight="1" thickTop="1">
      <c r="A94" s="313"/>
      <c r="B94" s="314"/>
      <c r="C94" s="313"/>
      <c r="D94" s="322"/>
      <c r="E94" s="315"/>
      <c r="F94" s="315"/>
      <c r="G94" s="316"/>
      <c r="H94" s="316"/>
      <c r="I94" s="317"/>
      <c r="J94" s="325"/>
      <c r="K94" s="313"/>
      <c r="L94" s="313"/>
      <c r="N94" s="235" t="s">
        <v>1137</v>
      </c>
      <c r="O94" s="236" t="s">
        <v>4186</v>
      </c>
      <c r="P94" s="237">
        <v>37263</v>
      </c>
      <c r="Q94" s="236">
        <v>307.95999999999998</v>
      </c>
      <c r="R94" s="238">
        <v>2006060</v>
      </c>
      <c r="S94" s="236"/>
      <c r="T94" s="4090" t="s">
        <v>4187</v>
      </c>
      <c r="U94" s="4090">
        <f>SUM(Q94:Q97)</f>
        <v>878.33999999999992</v>
      </c>
      <c r="V94" s="4085">
        <v>933.74</v>
      </c>
    </row>
    <row r="95" spans="1:22" ht="15.95" customHeight="1">
      <c r="A95" s="313"/>
      <c r="B95" s="314"/>
      <c r="C95" s="4122" t="s">
        <v>4557</v>
      </c>
      <c r="D95" s="4122"/>
      <c r="E95" s="319" t="s">
        <v>4558</v>
      </c>
      <c r="F95" s="319" t="s">
        <v>317</v>
      </c>
      <c r="G95" s="318" t="s">
        <v>321</v>
      </c>
      <c r="H95" s="316"/>
      <c r="I95" s="317"/>
      <c r="J95" s="314"/>
      <c r="K95" s="313"/>
      <c r="L95" s="313"/>
      <c r="N95" s="239" t="s">
        <v>1137</v>
      </c>
      <c r="O95" s="7" t="s">
        <v>4186</v>
      </c>
      <c r="P95" s="240">
        <v>37263</v>
      </c>
      <c r="Q95" s="7">
        <v>93.58</v>
      </c>
      <c r="R95" s="9">
        <v>2006070</v>
      </c>
      <c r="S95" s="7"/>
      <c r="T95" s="4050"/>
      <c r="U95" s="4050"/>
      <c r="V95" s="4086"/>
    </row>
    <row r="96" spans="1:22" ht="15.95" customHeight="1">
      <c r="A96" s="313"/>
      <c r="B96" s="314"/>
      <c r="C96" s="313" t="s">
        <v>2286</v>
      </c>
      <c r="D96" s="322">
        <v>1</v>
      </c>
      <c r="E96" s="315">
        <v>39090</v>
      </c>
      <c r="F96" s="315">
        <v>39096</v>
      </c>
      <c r="G96" s="354">
        <f>+F96-E96+1</f>
        <v>7</v>
      </c>
      <c r="H96" s="316"/>
      <c r="I96" s="317"/>
      <c r="J96" s="314"/>
      <c r="K96" s="313"/>
      <c r="L96" s="313"/>
      <c r="N96" s="239" t="s">
        <v>1137</v>
      </c>
      <c r="O96" s="7" t="s">
        <v>4186</v>
      </c>
      <c r="P96" s="240">
        <v>37263</v>
      </c>
      <c r="Q96" s="7">
        <v>313.14999999999998</v>
      </c>
      <c r="R96" s="9">
        <v>2006080</v>
      </c>
      <c r="S96" s="7"/>
      <c r="T96" s="4050"/>
      <c r="U96" s="4050"/>
      <c r="V96" s="4086"/>
    </row>
    <row r="97" spans="1:22" ht="15.2" customHeight="1" thickBot="1">
      <c r="A97" s="313"/>
      <c r="B97" s="314"/>
      <c r="C97" s="313" t="s">
        <v>2286</v>
      </c>
      <c r="D97" s="322">
        <v>2</v>
      </c>
      <c r="E97" s="315">
        <v>39097</v>
      </c>
      <c r="F97" s="315">
        <v>39106</v>
      </c>
      <c r="G97" s="354">
        <f>+F97-E97+1</f>
        <v>10</v>
      </c>
      <c r="H97" s="4102" t="s">
        <v>3868</v>
      </c>
      <c r="I97" s="4103">
        <f>+I82/J82</f>
        <v>21.763999999999999</v>
      </c>
      <c r="J97" s="314"/>
      <c r="K97" s="313"/>
      <c r="L97" s="313"/>
      <c r="N97" s="233" t="s">
        <v>1137</v>
      </c>
      <c r="O97" s="218" t="s">
        <v>4186</v>
      </c>
      <c r="P97" s="234">
        <v>37263</v>
      </c>
      <c r="Q97" s="218">
        <v>163.65</v>
      </c>
      <c r="R97" s="95">
        <v>2006090</v>
      </c>
      <c r="S97" s="218"/>
      <c r="T97" s="4091"/>
      <c r="U97" s="4091"/>
      <c r="V97" s="4087"/>
    </row>
    <row r="98" spans="1:22" ht="15.2" customHeight="1" thickTop="1">
      <c r="A98" s="313"/>
      <c r="B98" s="314"/>
      <c r="C98" s="313" t="s">
        <v>2286</v>
      </c>
      <c r="D98" s="322">
        <v>3</v>
      </c>
      <c r="E98" s="315">
        <v>39107</v>
      </c>
      <c r="F98" s="315">
        <v>39124</v>
      </c>
      <c r="G98" s="354">
        <f>+F98-E98+1</f>
        <v>18</v>
      </c>
      <c r="H98" s="4102"/>
      <c r="I98" s="4104"/>
      <c r="J98" s="314"/>
      <c r="K98" s="4105" t="s">
        <v>3484</v>
      </c>
      <c r="L98" s="4106"/>
      <c r="N98" s="235" t="s">
        <v>1137</v>
      </c>
      <c r="O98" s="236" t="s">
        <v>4186</v>
      </c>
      <c r="P98" s="237">
        <v>37263</v>
      </c>
      <c r="Q98" s="236">
        <v>170.78</v>
      </c>
      <c r="R98" s="238">
        <v>2006100</v>
      </c>
      <c r="S98" s="236"/>
      <c r="T98" s="4090" t="s">
        <v>4832</v>
      </c>
      <c r="U98" s="4090">
        <f>SUM(Q98:Q102)</f>
        <v>1098.57</v>
      </c>
      <c r="V98" s="4085">
        <v>1262.22</v>
      </c>
    </row>
    <row r="99" spans="1:22" ht="16.7" customHeight="1">
      <c r="A99" s="313"/>
      <c r="B99" s="314"/>
      <c r="C99" s="313"/>
      <c r="D99" s="322"/>
      <c r="E99" s="355">
        <v>39125</v>
      </c>
      <c r="F99" s="355">
        <v>39134</v>
      </c>
      <c r="G99" s="356" t="s">
        <v>3485</v>
      </c>
      <c r="H99" s="357"/>
      <c r="I99" s="358"/>
      <c r="J99" s="314"/>
      <c r="K99" s="4107"/>
      <c r="L99" s="4108"/>
      <c r="N99" s="4092" t="s">
        <v>4595</v>
      </c>
      <c r="O99" s="4050"/>
      <c r="P99" s="4050"/>
      <c r="Q99" s="4050"/>
      <c r="R99" s="9">
        <v>2006110</v>
      </c>
      <c r="S99" s="7"/>
      <c r="T99" s="4050"/>
      <c r="U99" s="4050"/>
      <c r="V99" s="4086"/>
    </row>
    <row r="100" spans="1:22" ht="15.95" customHeight="1">
      <c r="A100" s="313"/>
      <c r="B100" s="314"/>
      <c r="C100" s="313" t="s">
        <v>2286</v>
      </c>
      <c r="D100" s="322">
        <v>4</v>
      </c>
      <c r="E100" s="315">
        <v>39135</v>
      </c>
      <c r="F100" s="315">
        <v>39154</v>
      </c>
      <c r="G100" s="354">
        <f t="shared" ref="G100:G105" si="1">+F100-E100+1</f>
        <v>20</v>
      </c>
      <c r="H100" s="316"/>
      <c r="I100" s="317"/>
      <c r="J100" s="314"/>
      <c r="K100" s="4111">
        <f>+I101-I76</f>
        <v>-1271.6820000000002</v>
      </c>
      <c r="L100" s="4112"/>
      <c r="N100" s="239" t="s">
        <v>1137</v>
      </c>
      <c r="O100" s="7" t="s">
        <v>4186</v>
      </c>
      <c r="P100" s="240">
        <v>37263</v>
      </c>
      <c r="Q100" s="7">
        <v>0</v>
      </c>
      <c r="R100" s="9">
        <v>2006120</v>
      </c>
      <c r="S100" s="7"/>
      <c r="T100" s="4050"/>
      <c r="U100" s="4050"/>
      <c r="V100" s="4086"/>
    </row>
    <row r="101" spans="1:22" ht="15.2" customHeight="1">
      <c r="A101" s="313"/>
      <c r="B101" s="314"/>
      <c r="C101" s="313" t="s">
        <v>2286</v>
      </c>
      <c r="D101" s="322">
        <v>5</v>
      </c>
      <c r="E101" s="315">
        <v>39155</v>
      </c>
      <c r="F101" s="315">
        <v>39184</v>
      </c>
      <c r="G101" s="354">
        <f t="shared" si="1"/>
        <v>30</v>
      </c>
      <c r="H101" s="4102" t="s">
        <v>3486</v>
      </c>
      <c r="I101" s="4109">
        <f>+I97*G108</f>
        <v>2764.0279999999998</v>
      </c>
      <c r="J101" s="314"/>
      <c r="K101" s="4113"/>
      <c r="L101" s="4114"/>
      <c r="N101" s="239" t="s">
        <v>1137</v>
      </c>
      <c r="O101" s="7" t="s">
        <v>4186</v>
      </c>
      <c r="P101" s="240">
        <v>37263</v>
      </c>
      <c r="Q101" s="7">
        <v>0</v>
      </c>
      <c r="R101" s="9">
        <v>2006130</v>
      </c>
      <c r="S101" s="7"/>
      <c r="T101" s="4050"/>
      <c r="U101" s="4050"/>
      <c r="V101" s="4086"/>
    </row>
    <row r="102" spans="1:22" ht="15.2" customHeight="1" thickBot="1">
      <c r="A102" s="313"/>
      <c r="B102" s="314"/>
      <c r="C102" s="313" t="s">
        <v>2286</v>
      </c>
      <c r="D102" s="322">
        <v>6</v>
      </c>
      <c r="E102" s="315">
        <v>39185</v>
      </c>
      <c r="F102" s="315">
        <v>39190</v>
      </c>
      <c r="G102" s="354">
        <f t="shared" si="1"/>
        <v>6</v>
      </c>
      <c r="H102" s="4102"/>
      <c r="I102" s="4110"/>
      <c r="J102" s="314"/>
      <c r="K102" s="313"/>
      <c r="L102" s="313"/>
      <c r="N102" s="233" t="s">
        <v>1137</v>
      </c>
      <c r="O102" s="218" t="s">
        <v>4186</v>
      </c>
      <c r="P102" s="234">
        <v>37263</v>
      </c>
      <c r="Q102" s="218">
        <v>927.79</v>
      </c>
      <c r="R102" s="95">
        <v>2006131</v>
      </c>
      <c r="S102" s="218" t="s">
        <v>4776</v>
      </c>
      <c r="T102" s="4091"/>
      <c r="U102" s="4091"/>
      <c r="V102" s="4087"/>
    </row>
    <row r="103" spans="1:22" ht="15.2" customHeight="1" thickTop="1">
      <c r="A103" s="313"/>
      <c r="B103" s="314"/>
      <c r="C103" s="313" t="s">
        <v>2286</v>
      </c>
      <c r="D103" s="322">
        <v>7</v>
      </c>
      <c r="E103" s="315">
        <v>39191</v>
      </c>
      <c r="F103" s="315">
        <v>39205</v>
      </c>
      <c r="G103" s="354">
        <f t="shared" si="1"/>
        <v>15</v>
      </c>
      <c r="H103" s="316"/>
      <c r="I103" s="317"/>
      <c r="J103" s="314"/>
      <c r="K103" s="313"/>
      <c r="L103" s="313"/>
      <c r="N103" s="235" t="s">
        <v>1137</v>
      </c>
      <c r="O103" s="236" t="s">
        <v>4186</v>
      </c>
      <c r="P103" s="237">
        <v>37263</v>
      </c>
      <c r="Q103" s="236">
        <v>0</v>
      </c>
      <c r="R103" s="238">
        <v>2006140</v>
      </c>
      <c r="S103" s="236"/>
      <c r="T103" s="4090" t="s">
        <v>4777</v>
      </c>
      <c r="U103" s="4090">
        <f>SUM(Q103:Q107)</f>
        <v>1000.72</v>
      </c>
      <c r="V103" s="4085">
        <v>880.24</v>
      </c>
    </row>
    <row r="104" spans="1:22" ht="15.95" customHeight="1">
      <c r="A104" s="313"/>
      <c r="B104" s="314"/>
      <c r="C104" s="313" t="s">
        <v>2286</v>
      </c>
      <c r="D104" s="322">
        <v>8</v>
      </c>
      <c r="E104" s="355">
        <v>39206</v>
      </c>
      <c r="F104" s="355">
        <v>39209</v>
      </c>
      <c r="G104" s="354">
        <f t="shared" si="1"/>
        <v>4</v>
      </c>
      <c r="H104" s="316"/>
      <c r="I104" s="317"/>
      <c r="J104" s="314"/>
      <c r="K104" s="313"/>
      <c r="L104" s="313"/>
      <c r="N104" s="239" t="s">
        <v>1137</v>
      </c>
      <c r="O104" s="7" t="s">
        <v>4186</v>
      </c>
      <c r="P104" s="240">
        <v>37263</v>
      </c>
      <c r="Q104" s="7">
        <v>729.04</v>
      </c>
      <c r="R104" s="9">
        <v>2006150</v>
      </c>
      <c r="S104" s="7"/>
      <c r="T104" s="4050"/>
      <c r="U104" s="4050"/>
      <c r="V104" s="4086"/>
    </row>
    <row r="105" spans="1:22" ht="15.95" customHeight="1">
      <c r="A105" s="313"/>
      <c r="B105" s="314"/>
      <c r="C105" s="313" t="s">
        <v>2286</v>
      </c>
      <c r="D105" s="322">
        <v>9</v>
      </c>
      <c r="E105" s="315">
        <v>39210</v>
      </c>
      <c r="F105" s="315">
        <v>39216</v>
      </c>
      <c r="G105" s="354">
        <f t="shared" si="1"/>
        <v>7</v>
      </c>
      <c r="H105" s="316"/>
      <c r="I105" s="317"/>
      <c r="J105" s="314"/>
      <c r="K105" s="313"/>
      <c r="L105" s="313"/>
      <c r="N105" s="4092" t="s">
        <v>4595</v>
      </c>
      <c r="O105" s="4050"/>
      <c r="P105" s="4050"/>
      <c r="Q105" s="4050"/>
      <c r="R105" s="9">
        <v>2006160</v>
      </c>
      <c r="S105" s="7"/>
      <c r="T105" s="4050"/>
      <c r="U105" s="4050"/>
      <c r="V105" s="4086"/>
    </row>
    <row r="106" spans="1:22" ht="15.2" customHeight="1">
      <c r="A106" s="313"/>
      <c r="B106" s="314"/>
      <c r="C106" s="313" t="s">
        <v>2286</v>
      </c>
      <c r="D106" s="322">
        <v>10</v>
      </c>
      <c r="E106" s="315">
        <v>39217</v>
      </c>
      <c r="F106" s="315">
        <v>39221</v>
      </c>
      <c r="G106" s="354">
        <v>5</v>
      </c>
      <c r="H106" s="316"/>
      <c r="I106" s="317"/>
      <c r="J106" s="314"/>
      <c r="K106" s="313"/>
      <c r="L106" s="313"/>
      <c r="N106" s="239" t="s">
        <v>1137</v>
      </c>
      <c r="O106" s="7" t="s">
        <v>4186</v>
      </c>
      <c r="P106" s="240">
        <v>37263</v>
      </c>
      <c r="Q106" s="7">
        <v>151.19999999999999</v>
      </c>
      <c r="R106" s="9">
        <v>2006170</v>
      </c>
      <c r="S106" s="7"/>
      <c r="T106" s="4050"/>
      <c r="U106" s="4050"/>
      <c r="V106" s="4086"/>
    </row>
    <row r="107" spans="1:22" ht="15.2" customHeight="1" thickBot="1">
      <c r="A107" s="313"/>
      <c r="B107" s="314"/>
      <c r="C107" s="313" t="s">
        <v>2286</v>
      </c>
      <c r="D107" s="322">
        <v>11</v>
      </c>
      <c r="E107" s="315">
        <v>39222</v>
      </c>
      <c r="F107" s="315">
        <v>39226</v>
      </c>
      <c r="G107" s="354">
        <v>5</v>
      </c>
      <c r="H107" s="316"/>
      <c r="I107" s="317"/>
      <c r="J107" s="314"/>
      <c r="K107" s="313"/>
      <c r="L107" s="313"/>
      <c r="N107" s="233" t="s">
        <v>1137</v>
      </c>
      <c r="O107" s="218" t="s">
        <v>4186</v>
      </c>
      <c r="P107" s="234">
        <v>37263</v>
      </c>
      <c r="Q107" s="218">
        <v>120.48</v>
      </c>
      <c r="R107" s="95">
        <v>2006180</v>
      </c>
      <c r="S107" s="218"/>
      <c r="T107" s="4091"/>
      <c r="U107" s="4091"/>
      <c r="V107" s="4087"/>
    </row>
    <row r="108" spans="1:22" ht="16.7" customHeight="1" thickTop="1">
      <c r="A108" s="313"/>
      <c r="B108" s="314"/>
      <c r="C108" s="313"/>
      <c r="D108" s="322"/>
      <c r="E108" s="4101" t="s">
        <v>4044</v>
      </c>
      <c r="F108" s="4101"/>
      <c r="G108" s="359">
        <f>SUM(G96:G107)</f>
        <v>127</v>
      </c>
      <c r="H108" s="316"/>
      <c r="I108" s="317"/>
      <c r="J108" s="314"/>
      <c r="K108" s="313"/>
      <c r="L108" s="313"/>
      <c r="N108" s="235" t="s">
        <v>1137</v>
      </c>
      <c r="O108" s="236" t="s">
        <v>4186</v>
      </c>
      <c r="P108" s="237">
        <v>37263</v>
      </c>
      <c r="Q108" s="236">
        <v>228.15</v>
      </c>
      <c r="R108" s="238">
        <v>2006190</v>
      </c>
      <c r="S108" s="236"/>
      <c r="T108" s="4090" t="s">
        <v>3554</v>
      </c>
      <c r="U108" s="4090">
        <f>SUM(Q108:Q111)</f>
        <v>695.4</v>
      </c>
      <c r="V108" s="4085">
        <v>423.05</v>
      </c>
    </row>
    <row r="109" spans="1:22" ht="15.95" customHeight="1">
      <c r="A109" s="313"/>
      <c r="B109" s="314"/>
      <c r="C109" s="313"/>
      <c r="D109" s="322"/>
      <c r="E109" s="315"/>
      <c r="F109" s="315"/>
      <c r="G109" s="316"/>
      <c r="H109" s="316"/>
      <c r="I109" s="317"/>
      <c r="J109" s="314"/>
      <c r="K109" s="313"/>
      <c r="L109" s="313"/>
      <c r="N109" s="4092" t="s">
        <v>4595</v>
      </c>
      <c r="O109" s="4050"/>
      <c r="P109" s="4050"/>
      <c r="Q109" s="4050"/>
      <c r="R109" s="9">
        <v>2006200</v>
      </c>
      <c r="S109" s="7"/>
      <c r="T109" s="4050"/>
      <c r="U109" s="4050"/>
      <c r="V109" s="4086"/>
    </row>
    <row r="110" spans="1:22" ht="15.2" customHeight="1">
      <c r="A110" s="313"/>
      <c r="B110" s="314"/>
      <c r="C110" s="313"/>
      <c r="D110" s="322"/>
      <c r="E110" s="315"/>
      <c r="F110" s="315"/>
      <c r="G110" s="316"/>
      <c r="H110" s="316"/>
      <c r="I110" s="317"/>
      <c r="J110" s="314"/>
      <c r="K110" s="313"/>
      <c r="L110" s="313"/>
      <c r="N110" s="239" t="s">
        <v>1137</v>
      </c>
      <c r="O110" s="7" t="s">
        <v>4186</v>
      </c>
      <c r="P110" s="240">
        <v>37263</v>
      </c>
      <c r="Q110" s="7">
        <v>74.42</v>
      </c>
      <c r="R110" s="9">
        <v>2006210</v>
      </c>
      <c r="S110" s="7"/>
      <c r="T110" s="4050"/>
      <c r="U110" s="4050"/>
      <c r="V110" s="4086"/>
    </row>
    <row r="111" spans="1:22" ht="15.2" customHeight="1" thickBot="1">
      <c r="A111" s="313"/>
      <c r="B111" s="314"/>
      <c r="C111" s="313"/>
      <c r="D111" s="322"/>
      <c r="E111" s="315"/>
      <c r="F111" s="315"/>
      <c r="G111" s="316"/>
      <c r="H111" s="316"/>
      <c r="I111" s="317"/>
      <c r="J111" s="314"/>
      <c r="K111" s="313"/>
      <c r="L111" s="313"/>
      <c r="N111" s="233" t="s">
        <v>1137</v>
      </c>
      <c r="O111" s="218" t="s">
        <v>4186</v>
      </c>
      <c r="P111" s="234">
        <v>37263</v>
      </c>
      <c r="Q111" s="218">
        <v>392.83</v>
      </c>
      <c r="R111" s="95">
        <v>2006220</v>
      </c>
      <c r="S111" s="218"/>
      <c r="T111" s="4091"/>
      <c r="U111" s="4091"/>
      <c r="V111" s="4087"/>
    </row>
    <row r="112" spans="1:22" ht="15.2" customHeight="1" thickTop="1">
      <c r="A112" s="313"/>
      <c r="B112" s="314"/>
      <c r="C112" s="313"/>
      <c r="D112" s="322"/>
      <c r="E112" s="315"/>
      <c r="F112" s="315"/>
      <c r="G112" s="316"/>
      <c r="H112" s="316"/>
      <c r="I112" s="317"/>
      <c r="J112" s="314"/>
      <c r="K112" s="313"/>
      <c r="L112" s="313"/>
      <c r="N112" s="235" t="s">
        <v>1137</v>
      </c>
      <c r="O112" s="236" t="s">
        <v>4186</v>
      </c>
      <c r="P112" s="237">
        <v>37263</v>
      </c>
      <c r="Q112" s="236">
        <v>49.07</v>
      </c>
      <c r="R112" s="238">
        <v>2006230</v>
      </c>
      <c r="S112" s="236"/>
      <c r="T112" s="4090" t="s">
        <v>4575</v>
      </c>
      <c r="U112" s="4090">
        <f>SUM(Q112:Q115)</f>
        <v>453.39</v>
      </c>
      <c r="V112" s="4085">
        <v>846.22</v>
      </c>
    </row>
    <row r="113" spans="1:22" ht="15.95" customHeight="1">
      <c r="A113" s="313"/>
      <c r="B113" s="314"/>
      <c r="C113" s="313"/>
      <c r="D113" s="322"/>
      <c r="E113" s="315"/>
      <c r="F113" s="315"/>
      <c r="G113" s="316"/>
      <c r="H113" s="316"/>
      <c r="I113" s="317"/>
      <c r="J113" s="314"/>
      <c r="K113" s="313"/>
      <c r="L113" s="313"/>
      <c r="N113" s="4092" t="s">
        <v>4595</v>
      </c>
      <c r="O113" s="4050"/>
      <c r="P113" s="4050"/>
      <c r="Q113" s="4050"/>
      <c r="R113" s="9">
        <v>2006240</v>
      </c>
      <c r="S113" s="7"/>
      <c r="T113" s="4050"/>
      <c r="U113" s="4050"/>
      <c r="V113" s="4086"/>
    </row>
    <row r="114" spans="1:22" ht="15.95" customHeight="1">
      <c r="A114" s="313"/>
      <c r="B114" s="314"/>
      <c r="C114" s="313"/>
      <c r="D114" s="322"/>
      <c r="E114" s="315"/>
      <c r="F114" s="315"/>
      <c r="G114" s="316"/>
      <c r="H114" s="316"/>
      <c r="I114" s="317"/>
      <c r="J114" s="314"/>
      <c r="K114" s="313"/>
      <c r="L114" s="313"/>
      <c r="N114" s="239" t="s">
        <v>1137</v>
      </c>
      <c r="O114" s="7" t="s">
        <v>4186</v>
      </c>
      <c r="P114" s="240">
        <v>37263</v>
      </c>
      <c r="Q114" s="7">
        <v>153.91</v>
      </c>
      <c r="R114" s="9">
        <v>2006250</v>
      </c>
      <c r="S114" s="7"/>
      <c r="T114" s="4050"/>
      <c r="U114" s="4050"/>
      <c r="V114" s="4086"/>
    </row>
    <row r="115" spans="1:22" ht="15.2" customHeight="1" thickBot="1">
      <c r="A115" s="313"/>
      <c r="B115" s="314"/>
      <c r="C115" s="313"/>
      <c r="D115" s="322"/>
      <c r="E115" s="315"/>
      <c r="F115" s="315"/>
      <c r="G115" s="316"/>
      <c r="H115" s="316"/>
      <c r="I115" s="317"/>
      <c r="J115" s="314"/>
      <c r="K115" s="313"/>
      <c r="L115" s="313"/>
      <c r="N115" s="233" t="s">
        <v>1137</v>
      </c>
      <c r="O115" s="218" t="s">
        <v>4186</v>
      </c>
      <c r="P115" s="234">
        <v>37263</v>
      </c>
      <c r="Q115" s="218">
        <v>250.41</v>
      </c>
      <c r="R115" s="95">
        <v>2006260</v>
      </c>
      <c r="S115" s="218"/>
      <c r="T115" s="4091"/>
      <c r="U115" s="4091"/>
      <c r="V115" s="4087"/>
    </row>
    <row r="116" spans="1:22" ht="15.2" customHeight="1" thickTop="1">
      <c r="B116" s="4095" t="s">
        <v>4556</v>
      </c>
      <c r="C116" s="4095"/>
      <c r="D116" s="4095"/>
      <c r="E116" s="4095"/>
      <c r="F116" s="4095"/>
      <c r="G116" s="4095"/>
      <c r="H116" s="4095"/>
      <c r="I116" s="4095"/>
      <c r="J116" s="4095"/>
      <c r="K116" s="4095"/>
      <c r="L116" s="4095"/>
      <c r="N116" s="235" t="s">
        <v>1137</v>
      </c>
      <c r="O116" s="236" t="s">
        <v>4186</v>
      </c>
      <c r="P116" s="237">
        <v>37263</v>
      </c>
      <c r="Q116" s="236">
        <v>87.78</v>
      </c>
      <c r="R116" s="238">
        <v>2006270</v>
      </c>
      <c r="S116" s="236"/>
      <c r="T116" s="4090" t="s">
        <v>681</v>
      </c>
      <c r="U116" s="4090">
        <f>SUM(Q116:Q120)-Q120</f>
        <v>940.87000000000012</v>
      </c>
      <c r="V116" s="4085">
        <v>940.87</v>
      </c>
    </row>
    <row r="117" spans="1:22" ht="15.2" customHeight="1">
      <c r="B117" s="247"/>
      <c r="C117" s="248"/>
      <c r="D117" s="247"/>
      <c r="E117" s="249"/>
      <c r="F117" s="249"/>
      <c r="G117" s="250"/>
      <c r="H117" s="250"/>
      <c r="I117" s="251"/>
      <c r="J117" s="247"/>
      <c r="K117" s="248"/>
      <c r="L117" s="248"/>
      <c r="N117" s="239" t="s">
        <v>1137</v>
      </c>
      <c r="O117" s="7" t="s">
        <v>4186</v>
      </c>
      <c r="P117" s="240">
        <v>37263</v>
      </c>
      <c r="Q117" s="7">
        <v>313.94</v>
      </c>
      <c r="R117" s="9">
        <v>2006280</v>
      </c>
      <c r="S117" s="7"/>
      <c r="T117" s="4050"/>
      <c r="U117" s="4050"/>
      <c r="V117" s="4086"/>
    </row>
    <row r="118" spans="1:22" ht="15.2" customHeight="1">
      <c r="B118" s="247"/>
      <c r="C118" s="4094" t="s">
        <v>4557</v>
      </c>
      <c r="D118" s="4094"/>
      <c r="E118" s="253" t="s">
        <v>4558</v>
      </c>
      <c r="F118" s="253" t="s">
        <v>317</v>
      </c>
      <c r="G118" s="197" t="s">
        <v>318</v>
      </c>
      <c r="H118" s="197" t="s">
        <v>319</v>
      </c>
      <c r="I118" s="197" t="s">
        <v>320</v>
      </c>
      <c r="J118" s="252" t="s">
        <v>321</v>
      </c>
      <c r="K118" s="252" t="s">
        <v>3754</v>
      </c>
      <c r="L118" s="254" t="s">
        <v>629</v>
      </c>
      <c r="N118" s="239" t="s">
        <v>1137</v>
      </c>
      <c r="O118" s="7" t="s">
        <v>4186</v>
      </c>
      <c r="P118" s="240">
        <v>37263</v>
      </c>
      <c r="Q118" s="7">
        <v>93.79</v>
      </c>
      <c r="R118" s="9">
        <v>2006290</v>
      </c>
      <c r="S118" s="7"/>
      <c r="T118" s="4050"/>
      <c r="U118" s="4050"/>
      <c r="V118" s="4086"/>
    </row>
    <row r="119" spans="1:22" ht="15.2" customHeight="1">
      <c r="B119" s="247" t="s">
        <v>39</v>
      </c>
      <c r="C119" s="248" t="s">
        <v>552</v>
      </c>
      <c r="D119" s="255">
        <v>3</v>
      </c>
      <c r="E119" s="256">
        <v>39097</v>
      </c>
      <c r="F119" s="256">
        <v>39103</v>
      </c>
      <c r="G119" s="257">
        <v>381.31</v>
      </c>
      <c r="H119" s="257">
        <v>48.96</v>
      </c>
      <c r="I119" s="257">
        <v>332.35</v>
      </c>
      <c r="J119" s="258">
        <v>7</v>
      </c>
      <c r="K119" s="258">
        <v>54.47</v>
      </c>
      <c r="L119" s="248" t="s">
        <v>1790</v>
      </c>
      <c r="N119" s="239" t="s">
        <v>1137</v>
      </c>
      <c r="O119" s="7" t="s">
        <v>4186</v>
      </c>
      <c r="P119" s="240">
        <v>37263</v>
      </c>
      <c r="Q119" s="7">
        <v>445.36</v>
      </c>
      <c r="R119" s="9">
        <v>2006300</v>
      </c>
      <c r="S119" s="7"/>
      <c r="T119" s="4050"/>
      <c r="U119" s="4050"/>
      <c r="V119" s="4086"/>
    </row>
    <row r="120" spans="1:22" ht="16.7" customHeight="1" thickBot="1">
      <c r="B120" s="247" t="s">
        <v>39</v>
      </c>
      <c r="C120" s="248" t="s">
        <v>552</v>
      </c>
      <c r="D120" s="255">
        <v>4</v>
      </c>
      <c r="E120" s="256">
        <v>39104</v>
      </c>
      <c r="F120" s="256">
        <v>39110</v>
      </c>
      <c r="G120" s="257">
        <v>163.41999999999999</v>
      </c>
      <c r="H120" s="257">
        <v>20.98</v>
      </c>
      <c r="I120" s="257">
        <v>142.44</v>
      </c>
      <c r="J120" s="258">
        <v>3</v>
      </c>
      <c r="K120" s="258">
        <v>54.47</v>
      </c>
      <c r="L120" s="248" t="s">
        <v>1790</v>
      </c>
      <c r="N120" s="233" t="s">
        <v>1137</v>
      </c>
      <c r="O120" s="218" t="s">
        <v>4186</v>
      </c>
      <c r="P120" s="234">
        <v>37263</v>
      </c>
      <c r="Q120" s="241">
        <v>724.25</v>
      </c>
      <c r="R120" s="241">
        <v>2006302</v>
      </c>
      <c r="S120" s="241" t="s">
        <v>2806</v>
      </c>
      <c r="T120" s="4091"/>
      <c r="U120" s="4091"/>
      <c r="V120" s="4087"/>
    </row>
    <row r="121" spans="1:22" ht="15.95" customHeight="1" thickTop="1">
      <c r="B121" s="247"/>
      <c r="C121" s="258"/>
      <c r="D121" s="258"/>
      <c r="E121" s="256"/>
      <c r="F121" s="256"/>
      <c r="G121" s="257"/>
      <c r="H121" s="257"/>
      <c r="I121" s="257"/>
      <c r="J121" s="258"/>
      <c r="K121" s="258"/>
      <c r="L121" s="248"/>
      <c r="N121" s="235" t="s">
        <v>1137</v>
      </c>
      <c r="O121" s="236" t="s">
        <v>4186</v>
      </c>
      <c r="P121" s="237">
        <v>37263</v>
      </c>
      <c r="Q121" s="236">
        <v>157.46</v>
      </c>
      <c r="R121" s="238">
        <v>2006310</v>
      </c>
      <c r="S121" s="236"/>
      <c r="T121" s="4090" t="s">
        <v>2807</v>
      </c>
      <c r="U121" s="4090">
        <f>SUM(Q121:Q125)</f>
        <v>257.86</v>
      </c>
      <c r="V121" s="4085">
        <v>257.86</v>
      </c>
    </row>
    <row r="122" spans="1:22" ht="15.2" customHeight="1">
      <c r="B122" s="247" t="s">
        <v>553</v>
      </c>
      <c r="C122" s="248" t="s">
        <v>552</v>
      </c>
      <c r="D122" s="255">
        <v>9</v>
      </c>
      <c r="E122" s="249">
        <v>39139</v>
      </c>
      <c r="F122" s="249">
        <v>39145</v>
      </c>
      <c r="G122" s="250">
        <v>871.57</v>
      </c>
      <c r="H122" s="250">
        <v>111.91</v>
      </c>
      <c r="I122" s="251">
        <v>759.66</v>
      </c>
      <c r="J122" s="247">
        <v>16</v>
      </c>
      <c r="K122" s="258">
        <v>54.47</v>
      </c>
      <c r="L122" s="248" t="s">
        <v>1272</v>
      </c>
      <c r="N122" s="239" t="s">
        <v>1137</v>
      </c>
      <c r="O122" s="7" t="s">
        <v>4186</v>
      </c>
      <c r="P122" s="240">
        <v>37263</v>
      </c>
      <c r="Q122" s="7">
        <v>57.2</v>
      </c>
      <c r="R122" s="9">
        <v>2006320</v>
      </c>
      <c r="S122" s="7"/>
      <c r="T122" s="4050"/>
      <c r="U122" s="4050"/>
      <c r="V122" s="4086"/>
    </row>
    <row r="123" spans="1:22" ht="15.2" customHeight="1">
      <c r="B123" s="247" t="s">
        <v>553</v>
      </c>
      <c r="C123" s="248" t="s">
        <v>552</v>
      </c>
      <c r="D123" s="255">
        <v>10</v>
      </c>
      <c r="E123" s="249">
        <v>39146</v>
      </c>
      <c r="F123" s="249">
        <v>39152</v>
      </c>
      <c r="G123" s="250">
        <v>490.26</v>
      </c>
      <c r="H123" s="250">
        <v>62.95</v>
      </c>
      <c r="I123" s="251">
        <v>427.31</v>
      </c>
      <c r="J123" s="247">
        <v>9</v>
      </c>
      <c r="K123" s="258">
        <v>54.47</v>
      </c>
      <c r="L123" s="248" t="s">
        <v>1272</v>
      </c>
      <c r="N123" s="239" t="s">
        <v>1137</v>
      </c>
      <c r="O123" s="7" t="s">
        <v>4186</v>
      </c>
      <c r="P123" s="240">
        <v>37263</v>
      </c>
      <c r="Q123" s="7">
        <v>43.2</v>
      </c>
      <c r="R123" s="9">
        <v>2006330</v>
      </c>
      <c r="S123" s="7"/>
      <c r="T123" s="4050"/>
      <c r="U123" s="4050"/>
      <c r="V123" s="4086"/>
    </row>
    <row r="124" spans="1:22" ht="15.2" customHeight="1">
      <c r="B124" s="247" t="s">
        <v>553</v>
      </c>
      <c r="C124" s="248" t="s">
        <v>552</v>
      </c>
      <c r="D124" s="255">
        <v>11</v>
      </c>
      <c r="E124" s="249">
        <v>39153</v>
      </c>
      <c r="F124" s="249">
        <v>39159</v>
      </c>
      <c r="G124" s="250">
        <v>544.73</v>
      </c>
      <c r="H124" s="250">
        <v>69.94</v>
      </c>
      <c r="I124" s="251">
        <v>474.79</v>
      </c>
      <c r="J124" s="247">
        <v>10</v>
      </c>
      <c r="K124" s="258">
        <v>54.47</v>
      </c>
      <c r="L124" s="248" t="s">
        <v>1272</v>
      </c>
      <c r="N124" s="4092" t="s">
        <v>4595</v>
      </c>
      <c r="O124" s="4050"/>
      <c r="P124" s="4050"/>
      <c r="Q124" s="4050"/>
      <c r="R124" s="9">
        <v>2006340</v>
      </c>
      <c r="S124" s="7"/>
      <c r="T124" s="4050"/>
      <c r="U124" s="4050"/>
      <c r="V124" s="4086"/>
    </row>
    <row r="125" spans="1:22" ht="15.95" customHeight="1" thickBot="1">
      <c r="B125" s="247" t="s">
        <v>553</v>
      </c>
      <c r="C125" s="248" t="s">
        <v>552</v>
      </c>
      <c r="D125" s="255">
        <v>12</v>
      </c>
      <c r="E125" s="249">
        <v>39160</v>
      </c>
      <c r="F125" s="249">
        <v>39166</v>
      </c>
      <c r="G125" s="250">
        <v>544.73</v>
      </c>
      <c r="H125" s="250">
        <v>69.94</v>
      </c>
      <c r="I125" s="251">
        <v>474.79</v>
      </c>
      <c r="J125" s="247">
        <v>10</v>
      </c>
      <c r="K125" s="258">
        <v>54.47</v>
      </c>
      <c r="L125" s="248" t="s">
        <v>1272</v>
      </c>
      <c r="N125" s="4096" t="s">
        <v>4595</v>
      </c>
      <c r="O125" s="4091"/>
      <c r="P125" s="4091"/>
      <c r="Q125" s="4091"/>
      <c r="R125" s="95">
        <v>2006350</v>
      </c>
      <c r="S125" s="218"/>
      <c r="T125" s="4091"/>
      <c r="U125" s="4091"/>
      <c r="V125" s="4087"/>
    </row>
    <row r="126" spans="1:22" ht="15.95" customHeight="1" thickTop="1">
      <c r="B126" s="259" t="s">
        <v>553</v>
      </c>
      <c r="C126" s="260" t="s">
        <v>552</v>
      </c>
      <c r="D126" s="261">
        <v>13</v>
      </c>
      <c r="E126" s="262">
        <v>39167</v>
      </c>
      <c r="F126" s="262">
        <v>39173</v>
      </c>
      <c r="G126" s="263">
        <v>544.73</v>
      </c>
      <c r="H126" s="263">
        <v>69.94</v>
      </c>
      <c r="I126" s="264">
        <v>474.79</v>
      </c>
      <c r="J126" s="259">
        <v>10</v>
      </c>
      <c r="K126" s="259">
        <v>54.47</v>
      </c>
      <c r="L126" s="248" t="s">
        <v>1272</v>
      </c>
      <c r="N126" s="235" t="s">
        <v>1137</v>
      </c>
      <c r="O126" s="236" t="s">
        <v>4186</v>
      </c>
      <c r="P126" s="237">
        <v>37263</v>
      </c>
      <c r="Q126" s="236">
        <v>28.39</v>
      </c>
      <c r="R126" s="238">
        <v>2006360</v>
      </c>
      <c r="S126" s="236"/>
      <c r="T126" s="4090" t="s">
        <v>335</v>
      </c>
      <c r="U126" s="4090">
        <f>SUM(Q126:Q129)</f>
        <v>883.47</v>
      </c>
      <c r="V126" s="4085">
        <v>883.47</v>
      </c>
    </row>
    <row r="127" spans="1:22" ht="15.2" customHeight="1">
      <c r="B127" s="247" t="s">
        <v>1273</v>
      </c>
      <c r="C127" s="248" t="s">
        <v>552</v>
      </c>
      <c r="D127" s="255">
        <v>14</v>
      </c>
      <c r="E127" s="249">
        <v>39174</v>
      </c>
      <c r="F127" s="249">
        <v>39180</v>
      </c>
      <c r="G127" s="250">
        <v>544.73</v>
      </c>
      <c r="H127" s="250">
        <v>69.94</v>
      </c>
      <c r="I127" s="251">
        <v>474.79</v>
      </c>
      <c r="J127" s="247">
        <v>10</v>
      </c>
      <c r="K127" s="258">
        <v>54.47</v>
      </c>
      <c r="L127" s="248" t="s">
        <v>1272</v>
      </c>
      <c r="N127" s="239" t="s">
        <v>1137</v>
      </c>
      <c r="O127" s="7" t="s">
        <v>4186</v>
      </c>
      <c r="P127" s="240">
        <v>37263</v>
      </c>
      <c r="Q127" s="7">
        <v>513.39</v>
      </c>
      <c r="R127" s="9">
        <v>2006370</v>
      </c>
      <c r="S127" s="7"/>
      <c r="T127" s="4050"/>
      <c r="U127" s="4050"/>
      <c r="V127" s="4086"/>
    </row>
    <row r="128" spans="1:22" ht="15.2" customHeight="1" thickBot="1">
      <c r="B128" s="247" t="s">
        <v>1273</v>
      </c>
      <c r="C128" s="248" t="s">
        <v>552</v>
      </c>
      <c r="D128" s="255">
        <v>15</v>
      </c>
      <c r="E128" s="249">
        <v>39181</v>
      </c>
      <c r="F128" s="249">
        <v>39187</v>
      </c>
      <c r="G128" s="250">
        <v>544.73</v>
      </c>
      <c r="H128" s="250">
        <v>69.94</v>
      </c>
      <c r="I128" s="251">
        <v>474.79</v>
      </c>
      <c r="J128" s="247">
        <v>10</v>
      </c>
      <c r="K128" s="258">
        <v>54.47</v>
      </c>
      <c r="L128" s="248" t="s">
        <v>1272</v>
      </c>
      <c r="N128" s="239" t="s">
        <v>1137</v>
      </c>
      <c r="O128" s="7" t="s">
        <v>4186</v>
      </c>
      <c r="P128" s="240">
        <v>37263</v>
      </c>
      <c r="Q128" s="7">
        <v>31.19</v>
      </c>
      <c r="R128" s="9">
        <v>2006380</v>
      </c>
      <c r="S128" s="7"/>
      <c r="T128" s="4050"/>
      <c r="U128" s="4050"/>
      <c r="V128" s="4086"/>
    </row>
    <row r="129" spans="2:22" ht="15.95" customHeight="1" thickBot="1">
      <c r="B129" s="247"/>
      <c r="C129" s="248"/>
      <c r="D129" s="255"/>
      <c r="E129" s="249"/>
      <c r="F129" s="249"/>
      <c r="G129" s="4098" t="s">
        <v>13</v>
      </c>
      <c r="H129" s="4099"/>
      <c r="I129" s="265">
        <f>SUM(I119:I128)</f>
        <v>4035.71</v>
      </c>
      <c r="J129" s="266">
        <f>SUM(J119:J128)</f>
        <v>85</v>
      </c>
      <c r="K129" s="267" t="s">
        <v>14</v>
      </c>
      <c r="L129" s="248"/>
      <c r="N129" s="233" t="s">
        <v>1137</v>
      </c>
      <c r="O129" s="218" t="s">
        <v>4186</v>
      </c>
      <c r="P129" s="234">
        <v>37263</v>
      </c>
      <c r="Q129" s="218">
        <v>310.5</v>
      </c>
      <c r="R129" s="95">
        <v>2006390</v>
      </c>
      <c r="S129" s="218"/>
      <c r="T129" s="4091"/>
      <c r="U129" s="4091"/>
      <c r="V129" s="4087"/>
    </row>
    <row r="130" spans="2:22" ht="15.95" customHeight="1" thickTop="1">
      <c r="B130" s="4097" t="s">
        <v>2241</v>
      </c>
      <c r="C130" s="4097"/>
      <c r="D130" s="4097"/>
      <c r="E130" s="4097"/>
      <c r="F130" s="4097"/>
      <c r="G130" s="4097"/>
      <c r="H130" s="4097"/>
      <c r="I130" s="4097"/>
      <c r="J130" s="4097"/>
      <c r="K130" s="4097"/>
      <c r="L130" s="4097"/>
      <c r="N130" s="235" t="s">
        <v>1137</v>
      </c>
      <c r="O130" s="236" t="s">
        <v>4186</v>
      </c>
      <c r="P130" s="237">
        <v>37263</v>
      </c>
      <c r="Q130" s="236">
        <v>80.39</v>
      </c>
      <c r="R130" s="238">
        <v>2006400</v>
      </c>
      <c r="S130" s="236"/>
      <c r="T130" s="4090" t="s">
        <v>3025</v>
      </c>
      <c r="U130" s="4090">
        <f>SUM(Q130:Q134)</f>
        <v>733.64</v>
      </c>
      <c r="V130" s="4085">
        <v>333.32</v>
      </c>
    </row>
    <row r="131" spans="2:22" ht="15.2" customHeight="1">
      <c r="B131" s="4097"/>
      <c r="C131" s="4097"/>
      <c r="D131" s="4097"/>
      <c r="E131" s="4097"/>
      <c r="F131" s="4097"/>
      <c r="G131" s="4097"/>
      <c r="H131" s="4097"/>
      <c r="I131" s="4097"/>
      <c r="J131" s="4097"/>
      <c r="K131" s="4097"/>
      <c r="L131" s="4097"/>
      <c r="N131" s="4092" t="s">
        <v>4595</v>
      </c>
      <c r="O131" s="4050"/>
      <c r="P131" s="4050"/>
      <c r="Q131" s="4050"/>
      <c r="R131" s="9">
        <v>2006410</v>
      </c>
      <c r="S131" s="7"/>
      <c r="T131" s="4050"/>
      <c r="U131" s="4050"/>
      <c r="V131" s="4086"/>
    </row>
    <row r="132" spans="2:22" ht="15.2" customHeight="1">
      <c r="B132" s="247"/>
      <c r="C132" s="248"/>
      <c r="D132" s="255"/>
      <c r="E132" s="249"/>
      <c r="F132" s="249"/>
      <c r="G132" s="250"/>
      <c r="H132" s="250"/>
      <c r="I132" s="251"/>
      <c r="J132" s="247"/>
      <c r="K132" s="248"/>
      <c r="L132" s="248"/>
      <c r="N132" s="239" t="s">
        <v>1137</v>
      </c>
      <c r="O132" s="7" t="s">
        <v>4186</v>
      </c>
      <c r="P132" s="240">
        <v>37263</v>
      </c>
      <c r="Q132" s="7">
        <v>181.74</v>
      </c>
      <c r="R132" s="9">
        <v>2006420</v>
      </c>
      <c r="S132" s="7"/>
      <c r="T132" s="4050"/>
      <c r="U132" s="4050"/>
      <c r="V132" s="4086"/>
    </row>
    <row r="133" spans="2:22" ht="15.2" customHeight="1">
      <c r="B133" s="247"/>
      <c r="C133" s="248"/>
      <c r="D133" s="255"/>
      <c r="E133" s="249"/>
      <c r="F133" s="249"/>
      <c r="G133" s="250"/>
      <c r="H133" s="250"/>
      <c r="I133" s="251"/>
      <c r="J133" s="247"/>
      <c r="K133" s="248"/>
      <c r="L133" s="248"/>
      <c r="N133" s="239" t="s">
        <v>1137</v>
      </c>
      <c r="O133" s="7" t="s">
        <v>4186</v>
      </c>
      <c r="P133" s="240">
        <v>37263</v>
      </c>
      <c r="Q133" s="7">
        <v>71.19</v>
      </c>
      <c r="R133" s="9">
        <v>2006430</v>
      </c>
      <c r="S133" s="7"/>
      <c r="T133" s="4050"/>
      <c r="U133" s="4050"/>
      <c r="V133" s="4086"/>
    </row>
    <row r="134" spans="2:22" ht="15.95" customHeight="1" thickBot="1">
      <c r="B134" s="247"/>
      <c r="C134" s="4094" t="s">
        <v>4557</v>
      </c>
      <c r="D134" s="4094"/>
      <c r="E134" s="253" t="s">
        <v>4558</v>
      </c>
      <c r="F134" s="253" t="s">
        <v>317</v>
      </c>
      <c r="G134" s="197" t="s">
        <v>318</v>
      </c>
      <c r="H134" s="197" t="s">
        <v>319</v>
      </c>
      <c r="I134" s="197" t="s">
        <v>320</v>
      </c>
      <c r="J134" s="252" t="s">
        <v>321</v>
      </c>
      <c r="K134" s="268" t="s">
        <v>3754</v>
      </c>
      <c r="L134" s="254" t="s">
        <v>629</v>
      </c>
      <c r="N134" s="233" t="s">
        <v>1137</v>
      </c>
      <c r="O134" s="218" t="s">
        <v>4186</v>
      </c>
      <c r="P134" s="234">
        <v>37263</v>
      </c>
      <c r="Q134" s="218">
        <v>400.32</v>
      </c>
      <c r="R134" s="95">
        <v>2006440</v>
      </c>
      <c r="S134" s="218"/>
      <c r="T134" s="4091"/>
      <c r="U134" s="4091"/>
      <c r="V134" s="4087"/>
    </row>
    <row r="135" spans="2:22" ht="15.95" customHeight="1" thickTop="1" thickBot="1">
      <c r="B135" s="269" t="s">
        <v>1273</v>
      </c>
      <c r="C135" s="270" t="s">
        <v>552</v>
      </c>
      <c r="D135" s="271">
        <v>17</v>
      </c>
      <c r="E135" s="272">
        <v>39195</v>
      </c>
      <c r="F135" s="272">
        <v>39201</v>
      </c>
      <c r="G135" s="273">
        <v>238.7</v>
      </c>
      <c r="H135" s="274">
        <v>30.65</v>
      </c>
      <c r="I135" s="275">
        <v>208.05</v>
      </c>
      <c r="J135" s="276">
        <v>10</v>
      </c>
      <c r="K135" s="277">
        <f>+G135/J135</f>
        <v>23.869999999999997</v>
      </c>
      <c r="L135" s="278" t="s">
        <v>3981</v>
      </c>
      <c r="N135" s="235" t="s">
        <v>1137</v>
      </c>
      <c r="O135" s="236" t="s">
        <v>4186</v>
      </c>
      <c r="P135" s="237">
        <v>37263</v>
      </c>
      <c r="Q135" s="236">
        <v>40.06</v>
      </c>
      <c r="R135" s="238">
        <v>2006450</v>
      </c>
      <c r="S135" s="236"/>
      <c r="T135" s="4090" t="s">
        <v>2852</v>
      </c>
      <c r="U135" s="4090">
        <f>SUM(Q135:Q138)</f>
        <v>229.86</v>
      </c>
      <c r="V135" s="4085">
        <v>630.17999999999995</v>
      </c>
    </row>
    <row r="136" spans="2:22" ht="15.2" customHeight="1" thickTop="1">
      <c r="B136" s="247" t="s">
        <v>2242</v>
      </c>
      <c r="C136" s="248" t="s">
        <v>552</v>
      </c>
      <c r="D136" s="255" t="s">
        <v>2243</v>
      </c>
      <c r="E136" s="249">
        <v>39202</v>
      </c>
      <c r="F136" s="249">
        <v>39226</v>
      </c>
      <c r="G136" s="279">
        <f>+G135/10*J136</f>
        <v>668.3599999999999</v>
      </c>
      <c r="H136" s="250">
        <f>+H135/10*J136</f>
        <v>85.82</v>
      </c>
      <c r="I136" s="280">
        <f>+I135/10*J136</f>
        <v>582.54</v>
      </c>
      <c r="J136" s="281">
        <f>18+10</f>
        <v>28</v>
      </c>
      <c r="K136" s="282">
        <f>+G136/J136</f>
        <v>23.869999999999997</v>
      </c>
      <c r="L136" s="283" t="s">
        <v>3982</v>
      </c>
      <c r="N136" s="4092" t="s">
        <v>4595</v>
      </c>
      <c r="O136" s="4050"/>
      <c r="P136" s="4050"/>
      <c r="Q136" s="4050"/>
      <c r="R136" s="9">
        <v>2006460</v>
      </c>
      <c r="S136" s="7"/>
      <c r="T136" s="4050"/>
      <c r="U136" s="4050"/>
      <c r="V136" s="4086"/>
    </row>
    <row r="137" spans="2:22" ht="15.2" customHeight="1">
      <c r="B137" s="247"/>
      <c r="C137" s="248"/>
      <c r="D137" s="255"/>
      <c r="E137" s="249"/>
      <c r="F137" s="249"/>
      <c r="G137" s="250"/>
      <c r="H137" s="250"/>
      <c r="I137" s="251"/>
      <c r="J137" s="247"/>
      <c r="K137" s="248"/>
      <c r="L137" s="248"/>
      <c r="N137" s="239" t="s">
        <v>1137</v>
      </c>
      <c r="O137" s="7" t="s">
        <v>4186</v>
      </c>
      <c r="P137" s="240">
        <v>37263</v>
      </c>
      <c r="Q137" s="7">
        <v>47.87</v>
      </c>
      <c r="R137" s="9">
        <v>2006470</v>
      </c>
      <c r="S137" s="7"/>
      <c r="T137" s="4050"/>
      <c r="U137" s="4050"/>
      <c r="V137" s="4086"/>
    </row>
    <row r="138" spans="2:22" ht="15.95" customHeight="1" thickBot="1">
      <c r="B138" s="247"/>
      <c r="C138" s="248"/>
      <c r="D138" s="255"/>
      <c r="E138" s="249"/>
      <c r="F138" s="249"/>
      <c r="G138" s="250"/>
      <c r="H138" s="284" t="s">
        <v>2</v>
      </c>
      <c r="I138" s="285"/>
      <c r="J138" s="252">
        <f>+J136+J135+J129</f>
        <v>123</v>
      </c>
      <c r="K138" s="248"/>
      <c r="L138" s="248"/>
      <c r="N138" s="233" t="s">
        <v>1137</v>
      </c>
      <c r="O138" s="218" t="s">
        <v>4186</v>
      </c>
      <c r="P138" s="234">
        <v>37263</v>
      </c>
      <c r="Q138" s="218">
        <v>141.93</v>
      </c>
      <c r="R138" s="95">
        <v>2006480</v>
      </c>
      <c r="S138" s="218"/>
      <c r="T138" s="4091"/>
      <c r="U138" s="4091"/>
      <c r="V138" s="4087"/>
    </row>
    <row r="139" spans="2:22" ht="15.95" customHeight="1" thickTop="1">
      <c r="B139" s="4093" t="s">
        <v>3706</v>
      </c>
      <c r="C139" s="4093"/>
      <c r="D139" s="4093"/>
      <c r="E139" s="4093"/>
      <c r="F139" s="4093"/>
      <c r="G139" s="4093"/>
      <c r="H139" s="4093"/>
      <c r="I139" s="4093"/>
      <c r="J139" s="4093"/>
      <c r="K139" s="4093"/>
      <c r="L139" s="4093"/>
      <c r="N139" s="4071" t="s">
        <v>4595</v>
      </c>
      <c r="O139" s="4072"/>
      <c r="P139" s="4072"/>
      <c r="Q139" s="4072"/>
      <c r="R139" s="53">
        <v>2006490</v>
      </c>
      <c r="S139" s="54"/>
      <c r="T139" s="4072" t="s">
        <v>2853</v>
      </c>
      <c r="U139" s="4072">
        <f>SUM(Q139:Q143)-Q143</f>
        <v>848.94000000000017</v>
      </c>
      <c r="V139" s="4088">
        <v>848.94</v>
      </c>
    </row>
    <row r="140" spans="2:22" ht="15.2" customHeight="1">
      <c r="B140" s="4093"/>
      <c r="C140" s="4093"/>
      <c r="D140" s="4093"/>
      <c r="E140" s="4093"/>
      <c r="F140" s="4093"/>
      <c r="G140" s="4093"/>
      <c r="H140" s="4093"/>
      <c r="I140" s="4093"/>
      <c r="J140" s="4093"/>
      <c r="K140" s="4093"/>
      <c r="L140" s="4093"/>
      <c r="N140" s="239" t="s">
        <v>1137</v>
      </c>
      <c r="O140" s="7" t="s">
        <v>4186</v>
      </c>
      <c r="P140" s="240">
        <v>37263</v>
      </c>
      <c r="Q140" s="7">
        <v>158.80000000000001</v>
      </c>
      <c r="R140" s="9">
        <v>2006500</v>
      </c>
      <c r="S140" s="7"/>
      <c r="T140" s="4050"/>
      <c r="U140" s="4050"/>
      <c r="V140" s="4086"/>
    </row>
    <row r="141" spans="2:22" ht="15.2" customHeight="1">
      <c r="B141" s="286"/>
      <c r="C141" s="286"/>
      <c r="D141" s="286"/>
      <c r="E141" s="286"/>
      <c r="F141" s="286"/>
      <c r="G141" s="286"/>
      <c r="H141" s="286"/>
      <c r="I141" s="286"/>
      <c r="J141" s="286"/>
      <c r="K141" s="286"/>
      <c r="L141" s="286"/>
      <c r="N141" s="239" t="s">
        <v>1137</v>
      </c>
      <c r="O141" s="7" t="s">
        <v>4186</v>
      </c>
      <c r="P141" s="240">
        <v>37263</v>
      </c>
      <c r="Q141" s="7">
        <v>192</v>
      </c>
      <c r="R141" s="9">
        <v>2006510</v>
      </c>
      <c r="S141" s="7"/>
      <c r="T141" s="4050"/>
      <c r="U141" s="4050"/>
      <c r="V141" s="4086"/>
    </row>
    <row r="142" spans="2:22" ht="15.2" customHeight="1">
      <c r="B142" s="286"/>
      <c r="C142" s="286"/>
      <c r="D142" s="286"/>
      <c r="E142" s="286"/>
      <c r="F142" s="286"/>
      <c r="G142" s="286"/>
      <c r="H142" s="286"/>
      <c r="I142" s="286"/>
      <c r="J142" s="286"/>
      <c r="K142" s="286"/>
      <c r="L142" s="286"/>
      <c r="N142" s="239" t="s">
        <v>1137</v>
      </c>
      <c r="O142" s="7" t="s">
        <v>4186</v>
      </c>
      <c r="P142" s="240">
        <v>37263</v>
      </c>
      <c r="Q142" s="7">
        <v>498.14</v>
      </c>
      <c r="R142" s="9">
        <v>2006520</v>
      </c>
      <c r="S142" s="7"/>
      <c r="T142" s="4050"/>
      <c r="U142" s="4050"/>
      <c r="V142" s="4086"/>
    </row>
    <row r="143" spans="2:22" ht="16.7" customHeight="1" thickBot="1">
      <c r="B143" s="4080" t="s">
        <v>2285</v>
      </c>
      <c r="C143" s="4080"/>
      <c r="D143" s="4080"/>
      <c r="E143" s="4080"/>
      <c r="F143" s="4080"/>
      <c r="G143" s="4080"/>
      <c r="H143" s="4080"/>
      <c r="I143" s="4080"/>
      <c r="J143" s="4080"/>
      <c r="K143" s="4080"/>
      <c r="L143" s="4080"/>
      <c r="N143" s="242" t="s">
        <v>1137</v>
      </c>
      <c r="O143" s="63" t="s">
        <v>4186</v>
      </c>
      <c r="P143" s="243">
        <v>37263</v>
      </c>
      <c r="Q143" s="244">
        <v>769.36</v>
      </c>
      <c r="R143" s="244">
        <v>2006522</v>
      </c>
      <c r="S143" s="244" t="s">
        <v>2806</v>
      </c>
      <c r="T143" s="4064"/>
      <c r="U143" s="4064"/>
      <c r="V143" s="4089"/>
    </row>
    <row r="144" spans="2:22" ht="12.75">
      <c r="B144" s="4080"/>
      <c r="C144" s="4080"/>
      <c r="D144" s="4080"/>
      <c r="E144" s="4080"/>
      <c r="F144" s="4080"/>
      <c r="G144" s="4080"/>
      <c r="H144" s="4080"/>
      <c r="I144" s="4080"/>
      <c r="J144" s="4080"/>
      <c r="K144" s="4080"/>
      <c r="L144" s="4080"/>
      <c r="R144" s="8"/>
      <c r="V144" s="360"/>
    </row>
    <row r="145" spans="2:25" ht="17.25">
      <c r="B145" s="247"/>
      <c r="C145" s="248"/>
      <c r="D145" s="255"/>
      <c r="E145" s="249"/>
      <c r="F145" s="249"/>
      <c r="G145" s="250"/>
      <c r="H145" s="250"/>
      <c r="I145" s="251"/>
      <c r="J145" s="258"/>
      <c r="K145" s="248"/>
      <c r="L145" s="248"/>
      <c r="R145" s="8"/>
      <c r="S145" s="4050" t="s">
        <v>2854</v>
      </c>
      <c r="T145" s="4050"/>
      <c r="U145" s="7">
        <f>SUM(U89:U143)</f>
        <v>8240.11</v>
      </c>
      <c r="V145" s="361">
        <f>SUM(V89:V143)</f>
        <v>8240.11</v>
      </c>
    </row>
    <row r="146" spans="2:25">
      <c r="B146" s="247"/>
      <c r="C146" s="4094" t="s">
        <v>4557</v>
      </c>
      <c r="D146" s="4094"/>
      <c r="E146" s="253" t="s">
        <v>4558</v>
      </c>
      <c r="F146" s="253" t="s">
        <v>317</v>
      </c>
      <c r="G146" s="252" t="s">
        <v>321</v>
      </c>
      <c r="H146" s="250"/>
      <c r="I146" s="251"/>
      <c r="J146" s="247"/>
      <c r="K146" s="248"/>
      <c r="L146" s="248"/>
      <c r="R146" s="8"/>
      <c r="V146" s="360"/>
      <c r="X146" s="8" t="s">
        <v>1330</v>
      </c>
      <c r="Y146" s="8" t="s">
        <v>1331</v>
      </c>
    </row>
    <row r="147" spans="2:25" ht="22.5">
      <c r="B147" s="247"/>
      <c r="C147" s="248" t="s">
        <v>2286</v>
      </c>
      <c r="D147" s="255">
        <v>1</v>
      </c>
      <c r="E147" s="249">
        <v>39090</v>
      </c>
      <c r="F147" s="249">
        <v>39096</v>
      </c>
      <c r="G147" s="287">
        <f>+F147-E147+1</f>
        <v>7</v>
      </c>
      <c r="H147" s="250"/>
      <c r="I147" s="251"/>
      <c r="J147" s="247"/>
      <c r="K147" s="248"/>
      <c r="L147" s="248"/>
      <c r="R147" s="8"/>
      <c r="S147" s="4070" t="s">
        <v>202</v>
      </c>
      <c r="T147" s="4070"/>
      <c r="U147" s="245">
        <f>+U145/360</f>
        <v>22.889194444444446</v>
      </c>
      <c r="V147" s="363">
        <f>+V145/330</f>
        <v>24.970030303030306</v>
      </c>
      <c r="X147" s="8" t="s">
        <v>1371</v>
      </c>
      <c r="Y147" s="246" t="s">
        <v>542</v>
      </c>
    </row>
    <row r="148" spans="2:25">
      <c r="B148" s="247"/>
      <c r="C148" s="248" t="s">
        <v>2286</v>
      </c>
      <c r="D148" s="255">
        <v>2</v>
      </c>
      <c r="E148" s="249">
        <v>39097</v>
      </c>
      <c r="F148" s="249">
        <v>39106</v>
      </c>
      <c r="G148" s="287">
        <f>+F148-E148+1</f>
        <v>10</v>
      </c>
      <c r="H148" s="4079" t="s">
        <v>3868</v>
      </c>
      <c r="I148" s="4083">
        <f>+I135/J135</f>
        <v>20.805</v>
      </c>
      <c r="J148" s="247"/>
      <c r="K148" s="248"/>
      <c r="L148" s="248"/>
      <c r="R148" s="8"/>
    </row>
    <row r="149" spans="2:25">
      <c r="B149" s="247"/>
      <c r="C149" s="248" t="s">
        <v>2286</v>
      </c>
      <c r="D149" s="255">
        <v>3</v>
      </c>
      <c r="E149" s="249">
        <v>39107</v>
      </c>
      <c r="F149" s="249">
        <v>39124</v>
      </c>
      <c r="G149" s="287">
        <f>+F149-E149+1</f>
        <v>18</v>
      </c>
      <c r="H149" s="4079"/>
      <c r="I149" s="4084"/>
      <c r="J149" s="247"/>
      <c r="K149" s="4073" t="s">
        <v>3484</v>
      </c>
      <c r="L149" s="4074"/>
    </row>
    <row r="150" spans="2:25" ht="15.75">
      <c r="B150" s="247"/>
      <c r="C150" s="248"/>
      <c r="D150" s="255"/>
      <c r="E150" s="288">
        <v>39125</v>
      </c>
      <c r="F150" s="288">
        <v>39134</v>
      </c>
      <c r="G150" s="289" t="s">
        <v>3485</v>
      </c>
      <c r="H150" s="290"/>
      <c r="I150" s="291"/>
      <c r="J150" s="247"/>
      <c r="K150" s="4075"/>
      <c r="L150" s="4076"/>
    </row>
    <row r="151" spans="2:25">
      <c r="B151" s="247"/>
      <c r="C151" s="248" t="s">
        <v>2286</v>
      </c>
      <c r="D151" s="255">
        <v>4</v>
      </c>
      <c r="E151" s="249">
        <v>39135</v>
      </c>
      <c r="F151" s="249">
        <v>39154</v>
      </c>
      <c r="G151" s="287">
        <f>+F151-E151+1</f>
        <v>20</v>
      </c>
      <c r="H151" s="250"/>
      <c r="I151" s="251"/>
      <c r="J151" s="247"/>
      <c r="K151" s="4077">
        <f>+I152-I129</f>
        <v>-1476.6950000000002</v>
      </c>
      <c r="L151" s="4078"/>
    </row>
    <row r="152" spans="2:25">
      <c r="B152" s="247"/>
      <c r="C152" s="248" t="s">
        <v>2286</v>
      </c>
      <c r="D152" s="255">
        <v>5</v>
      </c>
      <c r="E152" s="249">
        <v>39155</v>
      </c>
      <c r="F152" s="249">
        <v>39184</v>
      </c>
      <c r="G152" s="287">
        <f>+F152-E152+1</f>
        <v>30</v>
      </c>
      <c r="H152" s="4079" t="s">
        <v>3486</v>
      </c>
      <c r="I152" s="4081">
        <f>+I148*G159</f>
        <v>2559.0149999999999</v>
      </c>
      <c r="J152" s="247"/>
      <c r="K152" s="4078"/>
      <c r="L152" s="4078"/>
    </row>
    <row r="153" spans="2:25">
      <c r="B153" s="247"/>
      <c r="C153" s="248" t="s">
        <v>2286</v>
      </c>
      <c r="D153" s="255">
        <v>6</v>
      </c>
      <c r="E153" s="249">
        <v>39185</v>
      </c>
      <c r="F153" s="249">
        <v>39190</v>
      </c>
      <c r="G153" s="287">
        <f>+F153-E153+1</f>
        <v>6</v>
      </c>
      <c r="H153" s="4079"/>
      <c r="I153" s="4082"/>
      <c r="J153" s="247"/>
      <c r="K153" s="248"/>
      <c r="L153" s="248"/>
    </row>
    <row r="154" spans="2:25">
      <c r="B154" s="247"/>
      <c r="C154" s="248" t="s">
        <v>2286</v>
      </c>
      <c r="D154" s="255">
        <v>7</v>
      </c>
      <c r="E154" s="249">
        <v>39191</v>
      </c>
      <c r="F154" s="249">
        <v>39205</v>
      </c>
      <c r="G154" s="287">
        <f>+F154-E154+1</f>
        <v>15</v>
      </c>
      <c r="H154" s="250"/>
      <c r="I154" s="251"/>
      <c r="J154" s="247"/>
      <c r="K154" s="248"/>
      <c r="L154" s="248"/>
    </row>
    <row r="155" spans="2:25">
      <c r="B155" s="247"/>
      <c r="C155" s="248"/>
      <c r="D155" s="255"/>
      <c r="E155" s="288">
        <v>39206</v>
      </c>
      <c r="F155" s="288">
        <v>39209</v>
      </c>
      <c r="G155" s="292" t="s">
        <v>520</v>
      </c>
      <c r="H155" s="250"/>
      <c r="I155" s="251"/>
      <c r="J155" s="247"/>
      <c r="K155" s="248"/>
      <c r="L155" s="248"/>
    </row>
    <row r="156" spans="2:25">
      <c r="B156" s="247"/>
      <c r="C156" s="248" t="s">
        <v>2286</v>
      </c>
      <c r="D156" s="255">
        <v>8</v>
      </c>
      <c r="E156" s="249">
        <v>39210</v>
      </c>
      <c r="F156" s="249">
        <v>39216</v>
      </c>
      <c r="G156" s="287">
        <f>+F156-E156+1</f>
        <v>7</v>
      </c>
      <c r="H156" s="250"/>
      <c r="I156" s="251"/>
      <c r="J156" s="247"/>
      <c r="K156" s="248"/>
      <c r="L156" s="248"/>
    </row>
    <row r="157" spans="2:25">
      <c r="B157" s="247"/>
      <c r="C157" s="248" t="s">
        <v>2286</v>
      </c>
      <c r="D157" s="255">
        <v>9</v>
      </c>
      <c r="E157" s="249">
        <v>39217</v>
      </c>
      <c r="F157" s="249">
        <v>39221</v>
      </c>
      <c r="G157" s="287">
        <v>5</v>
      </c>
      <c r="H157" s="250"/>
      <c r="I157" s="251"/>
      <c r="J157" s="247"/>
      <c r="K157" s="248"/>
      <c r="L157" s="248"/>
    </row>
    <row r="158" spans="2:25">
      <c r="B158" s="247"/>
      <c r="C158" s="248" t="s">
        <v>2286</v>
      </c>
      <c r="D158" s="255">
        <v>10</v>
      </c>
      <c r="E158" s="249">
        <v>20</v>
      </c>
      <c r="F158" s="249">
        <v>39226</v>
      </c>
      <c r="G158" s="287">
        <v>5</v>
      </c>
      <c r="H158" s="250"/>
      <c r="I158" s="251"/>
      <c r="J158" s="247"/>
      <c r="K158" s="248"/>
      <c r="L158" s="248"/>
    </row>
    <row r="159" spans="2:25" ht="15.75">
      <c r="B159" s="247"/>
      <c r="C159" s="248"/>
      <c r="D159" s="255"/>
      <c r="E159" s="4069" t="s">
        <v>4044</v>
      </c>
      <c r="F159" s="4069"/>
      <c r="G159" s="293">
        <f>SUM(G147:G158)</f>
        <v>123</v>
      </c>
      <c r="H159" s="250"/>
      <c r="I159" s="251"/>
      <c r="J159" s="247"/>
      <c r="K159" s="248"/>
      <c r="L159" s="248"/>
    </row>
    <row r="160" spans="2:25">
      <c r="B160" s="247"/>
      <c r="C160" s="248"/>
      <c r="D160" s="255"/>
      <c r="E160" s="249"/>
      <c r="F160" s="249"/>
      <c r="G160" s="250"/>
      <c r="H160" s="250"/>
      <c r="I160" s="251"/>
      <c r="J160" s="247"/>
      <c r="K160" s="248"/>
      <c r="L160" s="248"/>
    </row>
    <row r="161" spans="2:12">
      <c r="B161" s="247"/>
      <c r="C161" s="248"/>
      <c r="D161" s="255"/>
      <c r="E161" s="249"/>
      <c r="F161" s="249"/>
      <c r="G161" s="250"/>
      <c r="H161" s="250"/>
      <c r="I161" s="251"/>
      <c r="J161" s="247"/>
      <c r="K161" s="248"/>
      <c r="L161" s="248"/>
    </row>
    <row r="162" spans="2:12">
      <c r="B162" s="247"/>
      <c r="C162" s="248"/>
      <c r="D162" s="255"/>
      <c r="E162" s="249"/>
      <c r="F162" s="249"/>
      <c r="G162" s="250"/>
      <c r="H162" s="250"/>
      <c r="I162" s="251"/>
      <c r="J162" s="247"/>
      <c r="K162" s="248"/>
      <c r="L162" s="248"/>
    </row>
    <row r="163" spans="2:12">
      <c r="B163" s="247"/>
      <c r="C163" s="248"/>
      <c r="D163" s="255"/>
      <c r="E163" s="249"/>
      <c r="F163" s="249"/>
      <c r="G163" s="250"/>
      <c r="H163" s="250"/>
      <c r="I163" s="251"/>
      <c r="J163" s="247"/>
      <c r="K163" s="248"/>
      <c r="L163" s="248"/>
    </row>
    <row r="164" spans="2:12">
      <c r="B164" s="247"/>
      <c r="C164" s="248"/>
      <c r="D164" s="255"/>
      <c r="E164" s="249"/>
      <c r="F164" s="249"/>
      <c r="G164" s="250"/>
      <c r="H164" s="250"/>
      <c r="I164" s="251"/>
      <c r="J164" s="247"/>
      <c r="K164" s="248"/>
      <c r="L164" s="248"/>
    </row>
  </sheetData>
  <mergeCells count="137">
    <mergeCell ref="B2:L2"/>
    <mergeCell ref="C4:D4"/>
    <mergeCell ref="G15:H15"/>
    <mergeCell ref="B16:L17"/>
    <mergeCell ref="V37:V41"/>
    <mergeCell ref="U42:U45"/>
    <mergeCell ref="V34:V36"/>
    <mergeCell ref="T42:T45"/>
    <mergeCell ref="V46:V50"/>
    <mergeCell ref="H49:H50"/>
    <mergeCell ref="I49:I50"/>
    <mergeCell ref="K48:L49"/>
    <mergeCell ref="N47:Q47"/>
    <mergeCell ref="U46:U50"/>
    <mergeCell ref="T46:T50"/>
    <mergeCell ref="V42:V45"/>
    <mergeCell ref="C43:D43"/>
    <mergeCell ref="N37:Q37"/>
    <mergeCell ref="N33:U33"/>
    <mergeCell ref="R35:R36"/>
    <mergeCell ref="O35:O36"/>
    <mergeCell ref="P35:P36"/>
    <mergeCell ref="S35:S36"/>
    <mergeCell ref="Q35:Q36"/>
    <mergeCell ref="V56:V59"/>
    <mergeCell ref="U56:U59"/>
    <mergeCell ref="E56:F56"/>
    <mergeCell ref="N57:Q57"/>
    <mergeCell ref="V51:V55"/>
    <mergeCell ref="N53:Q53"/>
    <mergeCell ref="T56:T59"/>
    <mergeCell ref="N61:Q61"/>
    <mergeCell ref="V86:V88"/>
    <mergeCell ref="N85:U85"/>
    <mergeCell ref="O87:O88"/>
    <mergeCell ref="T51:T55"/>
    <mergeCell ref="U51:U55"/>
    <mergeCell ref="N35:N36"/>
    <mergeCell ref="T35:U35"/>
    <mergeCell ref="U37:U41"/>
    <mergeCell ref="T37:T41"/>
    <mergeCell ref="N38:Q38"/>
    <mergeCell ref="N39:Q39"/>
    <mergeCell ref="N40:Q40"/>
    <mergeCell ref="C20:D20"/>
    <mergeCell ref="B36:L37"/>
    <mergeCell ref="B40:L41"/>
    <mergeCell ref="H45:H46"/>
    <mergeCell ref="C95:D95"/>
    <mergeCell ref="B92:L93"/>
    <mergeCell ref="G76:H76"/>
    <mergeCell ref="B77:L78"/>
    <mergeCell ref="I45:I46"/>
    <mergeCell ref="K46:L47"/>
    <mergeCell ref="C65:D65"/>
    <mergeCell ref="C81:D81"/>
    <mergeCell ref="B63:L63"/>
    <mergeCell ref="N99:Q99"/>
    <mergeCell ref="V94:V97"/>
    <mergeCell ref="U108:U111"/>
    <mergeCell ref="B88:L89"/>
    <mergeCell ref="E108:F108"/>
    <mergeCell ref="H97:H98"/>
    <mergeCell ref="I97:I98"/>
    <mergeCell ref="K98:L99"/>
    <mergeCell ref="I101:I102"/>
    <mergeCell ref="H101:H102"/>
    <mergeCell ref="K100:L101"/>
    <mergeCell ref="Q87:Q88"/>
    <mergeCell ref="P87:P88"/>
    <mergeCell ref="N91:Q91"/>
    <mergeCell ref="T87:U87"/>
    <mergeCell ref="U89:U93"/>
    <mergeCell ref="T89:T93"/>
    <mergeCell ref="N92:Q92"/>
    <mergeCell ref="S87:S88"/>
    <mergeCell ref="N89:Q89"/>
    <mergeCell ref="N87:N88"/>
    <mergeCell ref="R87:R88"/>
    <mergeCell ref="N90:Q90"/>
    <mergeCell ref="V89:V93"/>
    <mergeCell ref="N113:Q113"/>
    <mergeCell ref="N105:Q105"/>
    <mergeCell ref="T108:T111"/>
    <mergeCell ref="T103:T107"/>
    <mergeCell ref="N109:Q109"/>
    <mergeCell ref="V121:V125"/>
    <mergeCell ref="U103:U107"/>
    <mergeCell ref="V103:V107"/>
    <mergeCell ref="V112:V115"/>
    <mergeCell ref="V116:V120"/>
    <mergeCell ref="U94:U97"/>
    <mergeCell ref="T112:T115"/>
    <mergeCell ref="T130:T134"/>
    <mergeCell ref="T98:T102"/>
    <mergeCell ref="U98:U102"/>
    <mergeCell ref="U116:U120"/>
    <mergeCell ref="U112:U115"/>
    <mergeCell ref="T126:T129"/>
    <mergeCell ref="T94:T97"/>
    <mergeCell ref="N136:Q136"/>
    <mergeCell ref="T135:T138"/>
    <mergeCell ref="B139:L140"/>
    <mergeCell ref="C146:D146"/>
    <mergeCell ref="C134:D134"/>
    <mergeCell ref="T116:T120"/>
    <mergeCell ref="B116:L116"/>
    <mergeCell ref="N124:Q124"/>
    <mergeCell ref="N125:Q125"/>
    <mergeCell ref="T121:T125"/>
    <mergeCell ref="B130:L131"/>
    <mergeCell ref="C118:D118"/>
    <mergeCell ref="G129:H129"/>
    <mergeCell ref="N131:Q131"/>
    <mergeCell ref="V98:V102"/>
    <mergeCell ref="V108:V111"/>
    <mergeCell ref="V139:V143"/>
    <mergeCell ref="U121:U125"/>
    <mergeCell ref="U139:U143"/>
    <mergeCell ref="V135:V138"/>
    <mergeCell ref="U126:U129"/>
    <mergeCell ref="V126:V129"/>
    <mergeCell ref="V130:V134"/>
    <mergeCell ref="U135:U138"/>
    <mergeCell ref="U130:U134"/>
    <mergeCell ref="E159:F159"/>
    <mergeCell ref="S147:T147"/>
    <mergeCell ref="N139:Q139"/>
    <mergeCell ref="K149:L150"/>
    <mergeCell ref="K151:L152"/>
    <mergeCell ref="T139:T143"/>
    <mergeCell ref="H152:H153"/>
    <mergeCell ref="H148:H149"/>
    <mergeCell ref="B143:L144"/>
    <mergeCell ref="S145:T145"/>
    <mergeCell ref="I152:I153"/>
    <mergeCell ref="I148:I149"/>
  </mergeCells>
  <phoneticPr fontId="0" type="noConversion"/>
  <printOptions horizontalCentered="1"/>
  <pageMargins left="0.75" right="0.75" top="0.39370078740157483" bottom="1" header="0" footer="0"/>
  <pageSetup scale="73" orientation="portrait" horizontalDpi="120" verticalDpi="144" r:id="rId1"/>
  <headerFooter alignWithMargins="0"/>
</worksheet>
</file>

<file path=xl/worksheets/sheet32.xml><?xml version="1.0" encoding="utf-8"?>
<worksheet xmlns="http://schemas.openxmlformats.org/spreadsheetml/2006/main" xmlns:r="http://schemas.openxmlformats.org/officeDocument/2006/relationships">
  <sheetPr codeName="Hoja35"/>
  <dimension ref="A3:R76"/>
  <sheetViews>
    <sheetView workbookViewId="0"/>
  </sheetViews>
  <sheetFormatPr baseColWidth="10" defaultRowHeight="12.75"/>
  <sheetData>
    <row r="3" spans="2:5">
      <c r="B3" t="s">
        <v>4535</v>
      </c>
    </row>
    <row r="4" spans="2:5">
      <c r="B4" t="s">
        <v>260</v>
      </c>
    </row>
    <row r="6" spans="2:5">
      <c r="B6" t="s">
        <v>4751</v>
      </c>
    </row>
    <row r="7" spans="2:5">
      <c r="B7" t="s">
        <v>1659</v>
      </c>
    </row>
    <row r="8" spans="2:5">
      <c r="B8" t="s">
        <v>1967</v>
      </c>
    </row>
    <row r="9" spans="2:5">
      <c r="B9" t="s">
        <v>4126</v>
      </c>
    </row>
    <row r="10" spans="2:5">
      <c r="B10" t="s">
        <v>459</v>
      </c>
    </row>
    <row r="11" spans="2:5">
      <c r="B11" t="s">
        <v>460</v>
      </c>
    </row>
    <row r="13" spans="2:5">
      <c r="B13" s="360" t="s">
        <v>399</v>
      </c>
      <c r="C13" s="427"/>
      <c r="D13" s="427"/>
      <c r="E13" s="427"/>
    </row>
    <row r="14" spans="2:5">
      <c r="B14" s="427" t="s">
        <v>2965</v>
      </c>
      <c r="C14" s="427"/>
      <c r="D14" s="427"/>
      <c r="E14" s="427"/>
    </row>
    <row r="15" spans="2:5">
      <c r="B15" s="427" t="s">
        <v>4784</v>
      </c>
      <c r="C15" s="427"/>
      <c r="D15" s="427"/>
      <c r="E15" s="427"/>
    </row>
    <row r="16" spans="2:5">
      <c r="B16" s="427" t="s">
        <v>2115</v>
      </c>
      <c r="C16" s="427"/>
      <c r="D16" s="427"/>
      <c r="E16" s="427"/>
    </row>
    <row r="17" spans="1:15">
      <c r="B17" s="427" t="s">
        <v>3139</v>
      </c>
      <c r="C17" s="427"/>
      <c r="D17" s="427"/>
      <c r="E17" s="427"/>
    </row>
    <row r="18" spans="1:15">
      <c r="B18" s="427" t="s">
        <v>3140</v>
      </c>
      <c r="C18" s="427"/>
      <c r="D18" s="427"/>
      <c r="E18" s="427"/>
    </row>
    <row r="21" spans="1:15" ht="25.5" customHeight="1">
      <c r="J21" s="4157" t="s">
        <v>4114</v>
      </c>
      <c r="K21" s="4157"/>
      <c r="L21" s="4157"/>
      <c r="M21" s="4157"/>
      <c r="N21" s="4157"/>
      <c r="O21" s="4157"/>
    </row>
    <row r="22" spans="1:15">
      <c r="B22" s="1310" t="s">
        <v>2845</v>
      </c>
      <c r="J22" s="139" t="s">
        <v>597</v>
      </c>
      <c r="K22" s="1106" t="s">
        <v>3827</v>
      </c>
      <c r="L22" s="140"/>
      <c r="M22" s="140"/>
      <c r="N22" s="140"/>
      <c r="O22" s="141"/>
    </row>
    <row r="23" spans="1:15" ht="15">
      <c r="B23" s="472" t="s">
        <v>4617</v>
      </c>
      <c r="C23" s="472" t="s">
        <v>4616</v>
      </c>
      <c r="D23" s="1313" t="s">
        <v>4618</v>
      </c>
      <c r="E23" s="2"/>
      <c r="F23" s="2"/>
      <c r="G23" s="472" t="s">
        <v>4615</v>
      </c>
      <c r="H23" s="1314" t="s">
        <v>521</v>
      </c>
      <c r="J23" s="77" t="s">
        <v>630</v>
      </c>
      <c r="K23" s="362">
        <v>40151</v>
      </c>
      <c r="L23" s="75"/>
      <c r="M23" s="75"/>
      <c r="N23" s="75"/>
      <c r="O23" s="143"/>
    </row>
    <row r="24" spans="1:15" ht="14.25">
      <c r="B24" s="8">
        <v>3</v>
      </c>
      <c r="C24" t="s">
        <v>2735</v>
      </c>
      <c r="D24" t="s">
        <v>1551</v>
      </c>
      <c r="G24" s="90">
        <v>30</v>
      </c>
      <c r="H24" s="135">
        <f t="shared" ref="H24:H30" si="0">+G24*B24</f>
        <v>90</v>
      </c>
      <c r="J24" s="79" t="s">
        <v>653</v>
      </c>
      <c r="K24" s="80" t="s">
        <v>654</v>
      </c>
      <c r="L24" s="80"/>
      <c r="M24" s="80"/>
      <c r="N24" s="80"/>
      <c r="O24" s="144"/>
    </row>
    <row r="25" spans="1:15" ht="14.25">
      <c r="B25" s="8">
        <v>1</v>
      </c>
      <c r="C25" t="s">
        <v>1188</v>
      </c>
      <c r="D25" t="s">
        <v>3147</v>
      </c>
      <c r="G25" s="90">
        <v>40</v>
      </c>
      <c r="H25" s="135">
        <f t="shared" si="0"/>
        <v>40</v>
      </c>
    </row>
    <row r="26" spans="1:15" ht="14.25">
      <c r="B26" s="8">
        <v>1</v>
      </c>
      <c r="C26" t="s">
        <v>1188</v>
      </c>
      <c r="D26" t="s">
        <v>3494</v>
      </c>
      <c r="G26" s="90">
        <v>30</v>
      </c>
      <c r="H26" s="135">
        <f t="shared" si="0"/>
        <v>30</v>
      </c>
      <c r="J26" s="139" t="s">
        <v>1157</v>
      </c>
      <c r="K26" s="140" t="s">
        <v>1978</v>
      </c>
      <c r="L26" s="140"/>
      <c r="M26" s="140" t="s">
        <v>659</v>
      </c>
      <c r="N26" s="140" t="s">
        <v>660</v>
      </c>
      <c r="O26" s="141"/>
    </row>
    <row r="27" spans="1:15" ht="14.25">
      <c r="B27" s="8">
        <v>1</v>
      </c>
      <c r="C27" t="s">
        <v>1188</v>
      </c>
      <c r="D27" t="s">
        <v>2669</v>
      </c>
      <c r="G27" s="90">
        <v>30</v>
      </c>
      <c r="H27" s="135">
        <f t="shared" si="0"/>
        <v>30</v>
      </c>
      <c r="J27" s="77" t="s">
        <v>657</v>
      </c>
      <c r="K27" s="75" t="s">
        <v>658</v>
      </c>
      <c r="L27" s="75"/>
      <c r="M27" s="75" t="s">
        <v>655</v>
      </c>
      <c r="N27" s="75" t="s">
        <v>656</v>
      </c>
      <c r="O27" s="143"/>
    </row>
    <row r="28" spans="1:15" ht="14.25">
      <c r="B28" s="71">
        <v>0.25</v>
      </c>
      <c r="C28" t="s">
        <v>1188</v>
      </c>
      <c r="D28" t="s">
        <v>2767</v>
      </c>
      <c r="G28" s="90">
        <v>40</v>
      </c>
      <c r="H28" s="135">
        <f t="shared" si="0"/>
        <v>10</v>
      </c>
      <c r="J28" s="77" t="s">
        <v>2858</v>
      </c>
      <c r="K28" s="75" t="s">
        <v>2859</v>
      </c>
      <c r="L28" s="75"/>
      <c r="M28" s="75" t="s">
        <v>4509</v>
      </c>
      <c r="N28" s="75" t="s">
        <v>708</v>
      </c>
      <c r="O28" s="143"/>
    </row>
    <row r="29" spans="1:15" ht="14.25">
      <c r="B29" s="8">
        <v>3</v>
      </c>
      <c r="C29" t="s">
        <v>2735</v>
      </c>
      <c r="D29" t="s">
        <v>2975</v>
      </c>
      <c r="G29" s="90">
        <v>14</v>
      </c>
      <c r="H29" s="135">
        <f t="shared" si="0"/>
        <v>42</v>
      </c>
      <c r="J29" s="79" t="s">
        <v>2857</v>
      </c>
      <c r="K29" s="80" t="s">
        <v>1155</v>
      </c>
      <c r="L29" s="80"/>
      <c r="M29" s="80" t="s">
        <v>1156</v>
      </c>
      <c r="N29" s="81">
        <v>1995</v>
      </c>
      <c r="O29" s="144"/>
    </row>
    <row r="30" spans="1:15" ht="14.25">
      <c r="A30" s="96"/>
      <c r="B30" s="97">
        <v>4</v>
      </c>
      <c r="C30" s="96" t="s">
        <v>1131</v>
      </c>
      <c r="D30" s="96" t="s">
        <v>3770</v>
      </c>
      <c r="E30" s="96"/>
      <c r="F30" s="96"/>
      <c r="G30" s="947">
        <v>2.5</v>
      </c>
      <c r="H30" s="135">
        <f t="shared" si="0"/>
        <v>10</v>
      </c>
      <c r="I30" s="96"/>
    </row>
    <row r="31" spans="1:15" s="96" customFormat="1" ht="15.2" customHeight="1">
      <c r="A31"/>
      <c r="B31"/>
      <c r="C31"/>
      <c r="D31"/>
      <c r="E31"/>
      <c r="F31"/>
      <c r="G31" s="90"/>
      <c r="H31" s="1312">
        <f>SUM(H24:H30)</f>
        <v>252</v>
      </c>
      <c r="I31"/>
      <c r="J31" s="1100" t="s">
        <v>4897</v>
      </c>
      <c r="K31" s="1101" t="s">
        <v>1158</v>
      </c>
      <c r="L31" s="1101"/>
      <c r="M31" s="1101"/>
      <c r="N31" s="1101"/>
      <c r="O31" s="1100" t="s">
        <v>2217</v>
      </c>
    </row>
    <row r="32" spans="1:15" ht="14.25">
      <c r="H32" s="14"/>
      <c r="J32" s="472">
        <v>1</v>
      </c>
      <c r="K32" s="2" t="s">
        <v>1814</v>
      </c>
    </row>
    <row r="33" spans="1:15" ht="14.25">
      <c r="B33" s="1310" t="s">
        <v>2846</v>
      </c>
      <c r="H33" s="14"/>
      <c r="J33" s="8"/>
      <c r="K33" s="428" t="s">
        <v>1815</v>
      </c>
    </row>
    <row r="34" spans="1:15" ht="15">
      <c r="B34" s="472" t="s">
        <v>4617</v>
      </c>
      <c r="C34" s="472" t="s">
        <v>4616</v>
      </c>
      <c r="D34" s="1313" t="s">
        <v>4618</v>
      </c>
      <c r="E34" s="2"/>
      <c r="F34" s="2"/>
      <c r="G34" s="472" t="s">
        <v>4615</v>
      </c>
      <c r="H34" s="1314" t="s">
        <v>521</v>
      </c>
      <c r="J34" s="8"/>
      <c r="K34" s="428" t="s">
        <v>3534</v>
      </c>
    </row>
    <row r="35" spans="1:15" ht="15" thickBot="1">
      <c r="B35" s="8">
        <v>1</v>
      </c>
      <c r="C35" t="s">
        <v>2450</v>
      </c>
      <c r="D35" s="502" t="s">
        <v>1687</v>
      </c>
      <c r="G35" s="90">
        <v>120</v>
      </c>
      <c r="H35" s="307">
        <f>+G35*B35</f>
        <v>120</v>
      </c>
      <c r="J35" s="8"/>
      <c r="K35" s="428" t="s">
        <v>385</v>
      </c>
      <c r="O35" s="213"/>
    </row>
    <row r="36" spans="1:15" ht="15" thickTop="1">
      <c r="B36" s="8">
        <v>6</v>
      </c>
      <c r="C36" t="s">
        <v>3511</v>
      </c>
      <c r="D36" t="s">
        <v>628</v>
      </c>
      <c r="G36" s="947">
        <v>1.2</v>
      </c>
      <c r="H36" s="307">
        <f>+G36*B36</f>
        <v>7.1999999999999993</v>
      </c>
      <c r="J36" s="8"/>
      <c r="N36" t="s">
        <v>1492</v>
      </c>
      <c r="O36" s="90">
        <v>200</v>
      </c>
    </row>
    <row r="37" spans="1:15" ht="14.25">
      <c r="B37" s="8">
        <v>2</v>
      </c>
      <c r="C37" t="s">
        <v>2735</v>
      </c>
      <c r="D37" t="s">
        <v>2975</v>
      </c>
      <c r="G37" s="947">
        <v>15</v>
      </c>
      <c r="H37" s="307">
        <f>+G37*B37</f>
        <v>30</v>
      </c>
      <c r="J37" s="472">
        <v>2</v>
      </c>
      <c r="K37" s="1099" t="s">
        <v>3158</v>
      </c>
    </row>
    <row r="38" spans="1:15" ht="14.25">
      <c r="B38" s="97">
        <v>3</v>
      </c>
      <c r="C38" s="96" t="s">
        <v>1131</v>
      </c>
      <c r="D38" s="96" t="s">
        <v>3770</v>
      </c>
      <c r="E38" s="96"/>
      <c r="G38" s="947">
        <v>2.2999999999999998</v>
      </c>
      <c r="H38" s="307">
        <f>+G38*B38</f>
        <v>6.8999999999999995</v>
      </c>
      <c r="J38" s="8"/>
      <c r="K38" s="428" t="s">
        <v>1104</v>
      </c>
    </row>
    <row r="39" spans="1:15" ht="14.25">
      <c r="B39" s="71">
        <v>0.5</v>
      </c>
      <c r="C39" t="s">
        <v>2051</v>
      </c>
      <c r="D39" t="s">
        <v>2052</v>
      </c>
      <c r="G39" s="947">
        <v>5</v>
      </c>
      <c r="H39" s="307">
        <f>+G39*B39</f>
        <v>2.5</v>
      </c>
      <c r="J39" s="8"/>
      <c r="K39" s="428" t="s">
        <v>1401</v>
      </c>
    </row>
    <row r="40" spans="1:15" ht="15.75" thickBot="1">
      <c r="B40" s="8"/>
      <c r="H40" s="1311">
        <f>SUM(H35:H39)</f>
        <v>166.6</v>
      </c>
      <c r="J40" s="8"/>
      <c r="K40" s="428" t="s">
        <v>699</v>
      </c>
      <c r="O40" s="213"/>
    </row>
    <row r="41" spans="1:15" ht="13.5" thickTop="1">
      <c r="B41" s="8"/>
      <c r="J41" s="8"/>
      <c r="N41" t="s">
        <v>1492</v>
      </c>
      <c r="O41" s="90">
        <f>325-100-25</f>
        <v>200</v>
      </c>
    </row>
    <row r="42" spans="1:15">
      <c r="B42" s="8"/>
      <c r="J42" s="472">
        <v>3</v>
      </c>
      <c r="K42" s="1099" t="s">
        <v>2135</v>
      </c>
    </row>
    <row r="43" spans="1:15">
      <c r="B43" s="8"/>
      <c r="J43" s="8"/>
      <c r="K43" s="428" t="s">
        <v>1735</v>
      </c>
    </row>
    <row r="44" spans="1:15" ht="14.25">
      <c r="A44" t="s">
        <v>339</v>
      </c>
      <c r="B44" s="8">
        <v>2</v>
      </c>
      <c r="C44" t="s">
        <v>2735</v>
      </c>
      <c r="D44" t="s">
        <v>1551</v>
      </c>
      <c r="G44" s="90">
        <v>30</v>
      </c>
      <c r="H44" s="307">
        <f>+G44*B44</f>
        <v>60</v>
      </c>
      <c r="J44" s="8"/>
      <c r="K44" s="428" t="s">
        <v>850</v>
      </c>
    </row>
    <row r="45" spans="1:15" ht="13.5" thickBot="1">
      <c r="B45" s="8"/>
      <c r="J45" s="8"/>
      <c r="K45" s="428" t="s">
        <v>1734</v>
      </c>
      <c r="O45" s="213"/>
    </row>
    <row r="46" spans="1:15" ht="13.5" thickTop="1">
      <c r="B46" s="8"/>
      <c r="J46" s="8"/>
      <c r="N46" t="s">
        <v>1492</v>
      </c>
      <c r="O46" s="90">
        <v>70</v>
      </c>
    </row>
    <row r="47" spans="1:15" ht="15">
      <c r="A47" s="1338" t="s">
        <v>2342</v>
      </c>
      <c r="J47" s="472">
        <v>4</v>
      </c>
      <c r="K47" s="1099" t="s">
        <v>700</v>
      </c>
    </row>
    <row r="48" spans="1:15" ht="24.95" customHeight="1" thickBot="1">
      <c r="A48" s="4158"/>
      <c r="B48" s="4159"/>
      <c r="C48" s="1339" t="s">
        <v>1837</v>
      </c>
      <c r="D48" s="4160"/>
      <c r="E48" s="4161" t="s">
        <v>1837</v>
      </c>
      <c r="F48" s="4161"/>
      <c r="G48" s="4161"/>
      <c r="H48" s="4161"/>
      <c r="J48" s="8"/>
      <c r="K48" s="428" t="s">
        <v>2216</v>
      </c>
      <c r="O48" s="213"/>
    </row>
    <row r="49" spans="1:18" ht="24.95" customHeight="1" thickTop="1">
      <c r="A49" s="4158"/>
      <c r="B49" s="4159"/>
      <c r="C49" s="1340" t="s">
        <v>1690</v>
      </c>
      <c r="D49" s="4160"/>
      <c r="E49" s="1340" t="s">
        <v>1690</v>
      </c>
      <c r="F49" s="4164">
        <v>40522.654861111114</v>
      </c>
      <c r="G49" s="4164"/>
      <c r="J49" s="8"/>
      <c r="N49" t="s">
        <v>1492</v>
      </c>
      <c r="O49" s="90">
        <v>60</v>
      </c>
    </row>
    <row r="50" spans="1:18" ht="24.95" customHeight="1">
      <c r="A50" s="4158"/>
      <c r="B50" s="4159"/>
      <c r="C50" s="1340" t="s">
        <v>140</v>
      </c>
      <c r="D50" s="4160"/>
      <c r="E50" s="4162" t="s">
        <v>140</v>
      </c>
      <c r="F50" s="4162"/>
      <c r="G50" s="4162"/>
      <c r="H50" s="4162"/>
      <c r="J50" s="8"/>
    </row>
    <row r="51" spans="1:18" ht="24.95" customHeight="1">
      <c r="A51" s="4158"/>
      <c r="B51" s="4159"/>
      <c r="C51" s="1341" t="s">
        <v>141</v>
      </c>
      <c r="D51" s="4160"/>
      <c r="E51" s="4163" t="s">
        <v>141</v>
      </c>
      <c r="F51" s="4163"/>
      <c r="G51" s="4163"/>
      <c r="H51" s="4163"/>
      <c r="J51" s="8"/>
      <c r="L51" s="139"/>
      <c r="M51" s="140" t="s">
        <v>3874</v>
      </c>
      <c r="N51" s="140"/>
      <c r="O51" s="1102">
        <f>+O49+O46+O41+O36</f>
        <v>530</v>
      </c>
      <c r="R51" s="90"/>
    </row>
    <row r="52" spans="1:18">
      <c r="B52" s="8"/>
      <c r="J52" s="8"/>
      <c r="L52" s="77"/>
      <c r="M52" s="75" t="s">
        <v>3875</v>
      </c>
      <c r="N52" s="75"/>
      <c r="O52" s="142">
        <f>+O51*0.19</f>
        <v>100.7</v>
      </c>
      <c r="R52" s="90"/>
    </row>
    <row r="53" spans="1:18" ht="15.75">
      <c r="B53" s="8"/>
      <c r="J53" s="8"/>
      <c r="L53" s="1103" t="s">
        <v>3876</v>
      </c>
      <c r="M53" s="1104"/>
      <c r="N53" s="1104"/>
      <c r="O53" s="1105">
        <f>+O52+O51</f>
        <v>630.70000000000005</v>
      </c>
      <c r="R53" s="90"/>
    </row>
    <row r="54" spans="1:18">
      <c r="B54" s="8"/>
      <c r="J54" s="8"/>
    </row>
    <row r="55" spans="1:18">
      <c r="B55" s="8"/>
      <c r="J55" s="8"/>
    </row>
    <row r="56" spans="1:18">
      <c r="B56" s="8"/>
      <c r="J56" s="8"/>
    </row>
    <row r="57" spans="1:18">
      <c r="B57" s="8"/>
      <c r="J57" s="8"/>
    </row>
    <row r="58" spans="1:18">
      <c r="B58" s="8"/>
      <c r="J58" s="8"/>
    </row>
    <row r="59" spans="1:18">
      <c r="B59" s="8"/>
      <c r="J59" s="8"/>
    </row>
    <row r="60" spans="1:18">
      <c r="B60" s="8"/>
      <c r="J60" s="8"/>
    </row>
    <row r="61" spans="1:18">
      <c r="B61" s="8"/>
      <c r="J61" s="8"/>
    </row>
    <row r="62" spans="1:18">
      <c r="B62" s="8"/>
      <c r="J62" s="8"/>
    </row>
    <row r="63" spans="1:18">
      <c r="B63" s="8"/>
      <c r="J63" s="8"/>
    </row>
    <row r="64" spans="1:18">
      <c r="B64" s="8"/>
      <c r="J64" s="8"/>
    </row>
    <row r="65" spans="10:10">
      <c r="J65" s="8"/>
    </row>
    <row r="66" spans="10:10">
      <c r="J66" s="8"/>
    </row>
    <row r="67" spans="10:10">
      <c r="J67" s="8"/>
    </row>
    <row r="68" spans="10:10">
      <c r="J68" s="8"/>
    </row>
    <row r="69" spans="10:10">
      <c r="J69" s="8"/>
    </row>
    <row r="70" spans="10:10">
      <c r="J70" s="8"/>
    </row>
    <row r="71" spans="10:10">
      <c r="J71" s="8"/>
    </row>
    <row r="72" spans="10:10">
      <c r="J72" s="8"/>
    </row>
    <row r="73" spans="10:10">
      <c r="J73" s="8"/>
    </row>
    <row r="74" spans="10:10">
      <c r="J74" s="8"/>
    </row>
    <row r="75" spans="10:10">
      <c r="J75" s="8"/>
    </row>
    <row r="76" spans="10:10">
      <c r="J76" s="8"/>
    </row>
  </sheetData>
  <mergeCells count="8">
    <mergeCell ref="J21:O21"/>
    <mergeCell ref="A48:A51"/>
    <mergeCell ref="B48:B51"/>
    <mergeCell ref="D48:D51"/>
    <mergeCell ref="E48:H48"/>
    <mergeCell ref="E50:H50"/>
    <mergeCell ref="E51:H51"/>
    <mergeCell ref="F49:G49"/>
  </mergeCells>
  <phoneticPr fontId="0" type="noConversion"/>
  <printOptions horizontalCentered="1"/>
  <pageMargins left="0.75" right="0.75" top="2.08" bottom="1" header="0" footer="0"/>
  <pageSetup scale="115" orientation="portrait" horizontalDpi="120" verticalDpi="144" r:id="rId1"/>
  <headerFooter alignWithMargins="0"/>
</worksheet>
</file>

<file path=xl/worksheets/sheet33.xml><?xml version="1.0" encoding="utf-8"?>
<worksheet xmlns="http://schemas.openxmlformats.org/spreadsheetml/2006/main" xmlns:r="http://schemas.openxmlformats.org/officeDocument/2006/relationships">
  <sheetPr codeName="Hoja36"/>
  <dimension ref="A1:CN145"/>
  <sheetViews>
    <sheetView workbookViewId="0"/>
  </sheetViews>
  <sheetFormatPr baseColWidth="10" defaultColWidth="9.140625" defaultRowHeight="12.75"/>
  <cols>
    <col min="1" max="1" width="9.140625" style="1351" customWidth="1"/>
    <col min="2" max="2" width="19.42578125" style="1351" customWidth="1"/>
    <col min="3" max="3" width="14" style="1351" customWidth="1"/>
    <col min="4" max="4" width="21.28515625" style="1351" customWidth="1"/>
    <col min="5" max="5" width="13.28515625" style="1351" bestFit="1" customWidth="1"/>
    <col min="6" max="6" width="64.7109375" style="1351" bestFit="1" customWidth="1"/>
    <col min="7" max="57" width="9.140625" style="1351" customWidth="1"/>
    <col min="58" max="58" width="45.5703125" style="1352" bestFit="1" customWidth="1"/>
    <col min="59" max="59" width="9.140625" style="1351" customWidth="1"/>
    <col min="60" max="60" width="75" style="1352" bestFit="1" customWidth="1"/>
    <col min="61" max="16384" width="9.140625" style="1351"/>
  </cols>
  <sheetData>
    <row r="1" spans="1:92">
      <c r="A1" s="1349" t="s">
        <v>1515</v>
      </c>
      <c r="B1" s="1349" t="s">
        <v>4358</v>
      </c>
      <c r="C1" s="1349" t="s">
        <v>1516</v>
      </c>
      <c r="D1" s="1349" t="s">
        <v>2723</v>
      </c>
      <c r="E1" s="1349" t="s">
        <v>2724</v>
      </c>
      <c r="F1" s="1349" t="s">
        <v>2725</v>
      </c>
      <c r="G1" s="1349" t="s">
        <v>4140</v>
      </c>
      <c r="H1" s="1349" t="s">
        <v>1482</v>
      </c>
      <c r="I1" s="1349" t="s">
        <v>2549</v>
      </c>
      <c r="J1" s="1349" t="s">
        <v>1343</v>
      </c>
      <c r="K1" s="1349" t="s">
        <v>1344</v>
      </c>
      <c r="L1" s="1349" t="s">
        <v>3273</v>
      </c>
      <c r="M1" s="1349" t="s">
        <v>652</v>
      </c>
      <c r="N1" s="1349" t="s">
        <v>1637</v>
      </c>
      <c r="O1" s="1349" t="s">
        <v>3127</v>
      </c>
      <c r="P1" s="1349" t="s">
        <v>3270</v>
      </c>
      <c r="Q1" s="1349" t="s">
        <v>3271</v>
      </c>
      <c r="R1" s="1349" t="s">
        <v>2075</v>
      </c>
      <c r="S1" s="1349" t="s">
        <v>1850</v>
      </c>
      <c r="T1" s="1349" t="s">
        <v>1851</v>
      </c>
      <c r="U1" s="1349" t="s">
        <v>1852</v>
      </c>
      <c r="V1" s="1349" t="s">
        <v>3201</v>
      </c>
      <c r="W1" s="1349" t="s">
        <v>3239</v>
      </c>
      <c r="X1" s="1349" t="s">
        <v>3240</v>
      </c>
      <c r="Y1" s="1349" t="s">
        <v>2477</v>
      </c>
      <c r="Z1" s="1349" t="s">
        <v>4613</v>
      </c>
      <c r="AA1" s="1349" t="s">
        <v>2903</v>
      </c>
      <c r="AB1" s="1349" t="s">
        <v>3405</v>
      </c>
      <c r="AC1" s="1349" t="s">
        <v>2191</v>
      </c>
      <c r="AD1" s="1349" t="s">
        <v>1026</v>
      </c>
      <c r="AE1" s="1349" t="s">
        <v>4189</v>
      </c>
      <c r="AF1" s="1349" t="s">
        <v>575</v>
      </c>
      <c r="AG1" s="1349" t="s">
        <v>584</v>
      </c>
      <c r="AH1" s="1349" t="s">
        <v>585</v>
      </c>
      <c r="AI1" s="1349" t="s">
        <v>1362</v>
      </c>
      <c r="AJ1" s="1349" t="s">
        <v>4286</v>
      </c>
      <c r="AK1" s="1349" t="s">
        <v>4071</v>
      </c>
      <c r="AL1" s="1349" t="s">
        <v>4072</v>
      </c>
      <c r="AM1" s="1349" t="s">
        <v>4073</v>
      </c>
      <c r="AN1" s="1349" t="s">
        <v>2902</v>
      </c>
      <c r="AO1" s="1349" t="s">
        <v>3197</v>
      </c>
      <c r="AP1" s="1349" t="s">
        <v>3198</v>
      </c>
      <c r="AQ1" s="1349" t="s">
        <v>3199</v>
      </c>
      <c r="AR1" s="1349" t="s">
        <v>3200</v>
      </c>
      <c r="AS1" s="1349" t="s">
        <v>1552</v>
      </c>
      <c r="AT1" s="1349" t="s">
        <v>3749</v>
      </c>
      <c r="AU1" s="1349" t="s">
        <v>3750</v>
      </c>
      <c r="AV1" s="1349" t="s">
        <v>2667</v>
      </c>
      <c r="AW1" s="1349" t="s">
        <v>2668</v>
      </c>
      <c r="AX1" s="1349" t="s">
        <v>4398</v>
      </c>
      <c r="AY1" s="1349" t="s">
        <v>2016</v>
      </c>
      <c r="AZ1" s="1349" t="s">
        <v>3547</v>
      </c>
      <c r="BA1" s="1349" t="s">
        <v>2794</v>
      </c>
      <c r="BB1" s="1349" t="s">
        <v>2795</v>
      </c>
      <c r="BC1" s="1349" t="s">
        <v>4529</v>
      </c>
      <c r="BD1" s="1349" t="s">
        <v>1192</v>
      </c>
      <c r="BE1" s="1349" t="s">
        <v>1193</v>
      </c>
      <c r="BF1" s="1350" t="s">
        <v>1194</v>
      </c>
      <c r="BG1" s="1349" t="s">
        <v>1782</v>
      </c>
      <c r="BH1" s="1350" t="s">
        <v>504</v>
      </c>
      <c r="BI1" s="1349" t="s">
        <v>3530</v>
      </c>
      <c r="BJ1" s="1349" t="s">
        <v>1546</v>
      </c>
      <c r="BK1" s="1349" t="s">
        <v>1041</v>
      </c>
      <c r="BL1" s="1349" t="s">
        <v>1651</v>
      </c>
      <c r="BM1" s="1349" t="s">
        <v>1652</v>
      </c>
      <c r="BN1" s="1349" t="s">
        <v>2946</v>
      </c>
      <c r="BO1" s="1349" t="s">
        <v>4251</v>
      </c>
      <c r="BP1" s="1349" t="s">
        <v>4252</v>
      </c>
      <c r="BQ1" s="1349" t="s">
        <v>1409</v>
      </c>
      <c r="BR1" s="1349" t="s">
        <v>1410</v>
      </c>
      <c r="BS1" s="1349" t="s">
        <v>2533</v>
      </c>
      <c r="BT1" s="1349" t="s">
        <v>4000</v>
      </c>
      <c r="BU1" s="1349" t="s">
        <v>4001</v>
      </c>
      <c r="BV1" s="1349" t="s">
        <v>3739</v>
      </c>
      <c r="BW1" s="1349" t="s">
        <v>2689</v>
      </c>
      <c r="BX1" s="1349" t="s">
        <v>495</v>
      </c>
      <c r="BY1" s="1349" t="s">
        <v>3394</v>
      </c>
      <c r="BZ1" s="1349" t="s">
        <v>3395</v>
      </c>
      <c r="CA1" s="1349" t="s">
        <v>529</v>
      </c>
      <c r="CB1" s="1349" t="s">
        <v>4300</v>
      </c>
      <c r="CC1" s="1349" t="s">
        <v>1778</v>
      </c>
      <c r="CD1" s="1349" t="s">
        <v>1779</v>
      </c>
      <c r="CE1" s="1349" t="s">
        <v>1780</v>
      </c>
      <c r="CF1" s="1349" t="s">
        <v>1781</v>
      </c>
      <c r="CG1" s="1349" t="s">
        <v>3186</v>
      </c>
      <c r="CH1" s="1349" t="s">
        <v>1831</v>
      </c>
      <c r="CI1" s="1349" t="s">
        <v>1039</v>
      </c>
      <c r="CJ1" s="1349" t="s">
        <v>1040</v>
      </c>
      <c r="CK1" s="1349" t="s">
        <v>1332</v>
      </c>
      <c r="CL1" s="1349" t="s">
        <v>1333</v>
      </c>
      <c r="CM1" s="1349" t="s">
        <v>4782</v>
      </c>
      <c r="CN1" s="1349" t="s">
        <v>4783</v>
      </c>
    </row>
    <row r="2" spans="1:92">
      <c r="B2" s="1349" t="s">
        <v>2606</v>
      </c>
      <c r="C2" s="1349" t="s">
        <v>4906</v>
      </c>
      <c r="I2" s="1349" t="s">
        <v>4740</v>
      </c>
      <c r="L2" s="1349" t="s">
        <v>3691</v>
      </c>
      <c r="O2" s="1349" t="s">
        <v>3692</v>
      </c>
      <c r="AY2" s="1349" t="s">
        <v>3693</v>
      </c>
      <c r="BC2" s="1349" t="s">
        <v>3693</v>
      </c>
      <c r="BE2" s="1349" t="s">
        <v>4678</v>
      </c>
      <c r="BF2" s="1350" t="s">
        <v>4966</v>
      </c>
      <c r="BG2" s="1349" t="s">
        <v>4967</v>
      </c>
      <c r="BH2" s="1350" t="s">
        <v>3899</v>
      </c>
      <c r="BP2" s="1349" t="s">
        <v>2300</v>
      </c>
      <c r="BS2" s="1349" t="s">
        <v>4545</v>
      </c>
      <c r="BZ2" s="1349" t="s">
        <v>4546</v>
      </c>
      <c r="CE2" s="1349" t="s">
        <v>4678</v>
      </c>
      <c r="CF2" s="1349" t="b">
        <v>0</v>
      </c>
    </row>
    <row r="3" spans="1:92">
      <c r="B3" s="1349" t="s">
        <v>4650</v>
      </c>
      <c r="C3" s="1349" t="s">
        <v>478</v>
      </c>
      <c r="D3" s="1349" t="s">
        <v>479</v>
      </c>
      <c r="AY3" s="1349" t="s">
        <v>3693</v>
      </c>
      <c r="BC3" s="1349" t="s">
        <v>3693</v>
      </c>
      <c r="BE3" s="1349" t="s">
        <v>4678</v>
      </c>
      <c r="BF3" s="1350" t="s">
        <v>4640</v>
      </c>
      <c r="BG3" s="1349" t="s">
        <v>4967</v>
      </c>
      <c r="BH3" s="1350" t="s">
        <v>5008</v>
      </c>
      <c r="BP3" s="1349" t="s">
        <v>2300</v>
      </c>
      <c r="BS3" s="1349" t="s">
        <v>5009</v>
      </c>
      <c r="BZ3" s="1349" t="s">
        <v>4546</v>
      </c>
      <c r="CE3" s="1349" t="s">
        <v>4678</v>
      </c>
      <c r="CF3" s="1349" t="b">
        <v>0</v>
      </c>
    </row>
    <row r="4" spans="1:92">
      <c r="B4" s="1349" t="s">
        <v>1981</v>
      </c>
      <c r="C4" s="1349" t="s">
        <v>1980</v>
      </c>
      <c r="D4" s="1349" t="s">
        <v>5010</v>
      </c>
      <c r="AY4" s="1349" t="s">
        <v>3693</v>
      </c>
      <c r="BC4" s="1349" t="s">
        <v>3693</v>
      </c>
      <c r="BE4" s="1349" t="s">
        <v>4678</v>
      </c>
      <c r="BF4" s="1350" t="s">
        <v>4123</v>
      </c>
      <c r="BG4" s="1349" t="s">
        <v>4967</v>
      </c>
      <c r="BH4" s="1350" t="s">
        <v>1161</v>
      </c>
      <c r="BP4" s="1349" t="s">
        <v>2300</v>
      </c>
      <c r="BS4" s="1349" t="s">
        <v>1162</v>
      </c>
      <c r="CE4" s="1349" t="s">
        <v>4678</v>
      </c>
      <c r="CF4" s="1349" t="b">
        <v>0</v>
      </c>
    </row>
    <row r="5" spans="1:92">
      <c r="B5" s="1349" t="s">
        <v>2372</v>
      </c>
      <c r="C5" s="1349" t="s">
        <v>736</v>
      </c>
      <c r="D5" s="1349" t="s">
        <v>3241</v>
      </c>
      <c r="AY5" s="1349" t="s">
        <v>3693</v>
      </c>
      <c r="BC5" s="1349" t="s">
        <v>3693</v>
      </c>
      <c r="BE5" s="1349" t="s">
        <v>4678</v>
      </c>
      <c r="BP5" s="1349" t="s">
        <v>2300</v>
      </c>
      <c r="BS5" s="1349" t="s">
        <v>3242</v>
      </c>
      <c r="BZ5" s="1349" t="s">
        <v>4546</v>
      </c>
      <c r="CE5" s="1349" t="s">
        <v>4678</v>
      </c>
      <c r="CF5" s="1349" t="b">
        <v>0</v>
      </c>
    </row>
    <row r="6" spans="1:92">
      <c r="B6" s="1349" t="s">
        <v>3243</v>
      </c>
      <c r="D6" s="1349" t="s">
        <v>3244</v>
      </c>
      <c r="AY6" s="1349" t="s">
        <v>3693</v>
      </c>
      <c r="BC6" s="1349" t="s">
        <v>3693</v>
      </c>
      <c r="BE6" s="1349" t="s">
        <v>4678</v>
      </c>
      <c r="BF6" s="1350" t="s">
        <v>1241</v>
      </c>
      <c r="BG6" s="1349" t="s">
        <v>4967</v>
      </c>
      <c r="BH6" s="1350" t="s">
        <v>4133</v>
      </c>
      <c r="BP6" s="1349" t="s">
        <v>2300</v>
      </c>
      <c r="BS6" s="1349" t="s">
        <v>4134</v>
      </c>
      <c r="BZ6" s="1349" t="s">
        <v>4546</v>
      </c>
      <c r="CE6" s="1349" t="s">
        <v>4678</v>
      </c>
      <c r="CF6" s="1349" t="b">
        <v>0</v>
      </c>
    </row>
    <row r="7" spans="1:92">
      <c r="B7" s="1349" t="s">
        <v>3560</v>
      </c>
      <c r="D7" s="1349" t="s">
        <v>2431</v>
      </c>
      <c r="AO7" s="1349" t="s">
        <v>2623</v>
      </c>
      <c r="AY7" s="1349" t="s">
        <v>3693</v>
      </c>
      <c r="BC7" s="1349" t="s">
        <v>3693</v>
      </c>
      <c r="BE7" s="1349" t="s">
        <v>4678</v>
      </c>
      <c r="BF7" s="1350" t="s">
        <v>3294</v>
      </c>
      <c r="BG7" s="1349" t="s">
        <v>4967</v>
      </c>
      <c r="BH7" s="1350" t="s">
        <v>5</v>
      </c>
      <c r="BI7" s="1349" t="s">
        <v>2814</v>
      </c>
      <c r="BJ7" s="1349" t="s">
        <v>4967</v>
      </c>
      <c r="BK7" s="1349" t="s">
        <v>2460</v>
      </c>
      <c r="BP7" s="1349" t="s">
        <v>2300</v>
      </c>
      <c r="BS7" s="1349" t="s">
        <v>2808</v>
      </c>
      <c r="BZ7" s="1349" t="s">
        <v>4546</v>
      </c>
      <c r="CE7" s="1349" t="s">
        <v>4678</v>
      </c>
      <c r="CF7" s="1349" t="b">
        <v>0</v>
      </c>
    </row>
    <row r="8" spans="1:92">
      <c r="B8" s="1349" t="s">
        <v>3595</v>
      </c>
      <c r="D8" s="1349" t="s">
        <v>3288</v>
      </c>
      <c r="F8" s="1349" t="s">
        <v>3289</v>
      </c>
      <c r="H8" s="1349" t="s">
        <v>3290</v>
      </c>
      <c r="I8" s="1349" t="s">
        <v>3291</v>
      </c>
      <c r="O8" s="1349" t="s">
        <v>3692</v>
      </c>
      <c r="AF8" s="1349" t="s">
        <v>3292</v>
      </c>
      <c r="AL8" s="1349" t="s">
        <v>3580</v>
      </c>
      <c r="AO8" s="1349" t="s">
        <v>3581</v>
      </c>
      <c r="AY8" s="1349" t="s">
        <v>3693</v>
      </c>
      <c r="BC8" s="1349" t="s">
        <v>3693</v>
      </c>
      <c r="BE8" s="1349" t="s">
        <v>4678</v>
      </c>
      <c r="BF8" s="1350" t="s">
        <v>3582</v>
      </c>
      <c r="BG8" s="1349" t="s">
        <v>4967</v>
      </c>
      <c r="BH8" s="1350" t="s">
        <v>869</v>
      </c>
      <c r="BP8" s="1349" t="s">
        <v>2300</v>
      </c>
      <c r="BS8" s="1349" t="s">
        <v>3840</v>
      </c>
      <c r="CD8" s="1349" t="s">
        <v>3841</v>
      </c>
      <c r="CE8" s="1349" t="s">
        <v>4678</v>
      </c>
      <c r="CF8" s="1349" t="b">
        <v>0</v>
      </c>
    </row>
    <row r="9" spans="1:92">
      <c r="B9" s="1349" t="s">
        <v>3595</v>
      </c>
      <c r="D9" s="1349" t="s">
        <v>3842</v>
      </c>
      <c r="I9" s="1349" t="s">
        <v>4202</v>
      </c>
      <c r="AE9" s="1349" t="s">
        <v>4203</v>
      </c>
      <c r="AF9" s="1349" t="s">
        <v>837</v>
      </c>
      <c r="AL9" s="1349" t="s">
        <v>223</v>
      </c>
      <c r="AY9" s="1349" t="s">
        <v>3693</v>
      </c>
      <c r="BC9" s="1349" t="s">
        <v>3693</v>
      </c>
      <c r="BE9" s="1349" t="s">
        <v>4678</v>
      </c>
      <c r="BF9" s="1350" t="s">
        <v>224</v>
      </c>
      <c r="BG9" s="1349" t="s">
        <v>4967</v>
      </c>
      <c r="BH9" s="1350" t="s">
        <v>361</v>
      </c>
      <c r="BP9" s="1349" t="s">
        <v>2300</v>
      </c>
      <c r="BS9" s="1349" t="s">
        <v>362</v>
      </c>
      <c r="BZ9" s="1349" t="s">
        <v>4546</v>
      </c>
      <c r="CE9" s="1349" t="s">
        <v>4678</v>
      </c>
      <c r="CF9" s="1349" t="b">
        <v>0</v>
      </c>
    </row>
    <row r="10" spans="1:92">
      <c r="B10" s="1349" t="s">
        <v>3595</v>
      </c>
      <c r="D10" s="1349" t="s">
        <v>2445</v>
      </c>
      <c r="I10" s="1349" t="s">
        <v>3738</v>
      </c>
      <c r="AE10" s="1349" t="s">
        <v>4203</v>
      </c>
      <c r="AF10" s="1349" t="s">
        <v>837</v>
      </c>
      <c r="AL10" s="1349" t="s">
        <v>4015</v>
      </c>
      <c r="AY10" s="1349" t="s">
        <v>3693</v>
      </c>
      <c r="BC10" s="1349" t="s">
        <v>3693</v>
      </c>
      <c r="BE10" s="1349" t="s">
        <v>4678</v>
      </c>
      <c r="BF10" s="1350" t="s">
        <v>4016</v>
      </c>
      <c r="BG10" s="1349" t="s">
        <v>4967</v>
      </c>
      <c r="BH10" s="1350" t="s">
        <v>1598</v>
      </c>
      <c r="BP10" s="1349" t="s">
        <v>2300</v>
      </c>
      <c r="BS10" s="1349" t="s">
        <v>2013</v>
      </c>
      <c r="BZ10" s="1349" t="s">
        <v>4546</v>
      </c>
      <c r="CE10" s="1349" t="s">
        <v>4678</v>
      </c>
      <c r="CF10" s="1349" t="b">
        <v>0</v>
      </c>
    </row>
    <row r="11" spans="1:92">
      <c r="B11" s="1349" t="s">
        <v>1601</v>
      </c>
      <c r="D11" s="1349" t="s">
        <v>1602</v>
      </c>
      <c r="AY11" s="1349" t="s">
        <v>3693</v>
      </c>
      <c r="BC11" s="1349" t="s">
        <v>3693</v>
      </c>
      <c r="BE11" s="1349" t="s">
        <v>4678</v>
      </c>
      <c r="BF11" s="1350" t="s">
        <v>483</v>
      </c>
      <c r="BG11" s="1349" t="s">
        <v>4967</v>
      </c>
      <c r="BH11" s="1350" t="s">
        <v>1769</v>
      </c>
      <c r="BP11" s="1349" t="s">
        <v>2300</v>
      </c>
      <c r="BS11" s="1349" t="s">
        <v>1770</v>
      </c>
      <c r="BZ11" s="1349" t="s">
        <v>4546</v>
      </c>
      <c r="CE11" s="1349" t="s">
        <v>4678</v>
      </c>
      <c r="CF11" s="1349" t="b">
        <v>0</v>
      </c>
    </row>
    <row r="12" spans="1:92">
      <c r="B12" s="1349" t="s">
        <v>968</v>
      </c>
      <c r="D12" s="1349" t="s">
        <v>969</v>
      </c>
      <c r="AY12" s="1349" t="s">
        <v>3693</v>
      </c>
      <c r="BC12" s="1349" t="s">
        <v>3693</v>
      </c>
      <c r="BE12" s="1349" t="s">
        <v>4678</v>
      </c>
      <c r="BF12" s="1350" t="s">
        <v>988</v>
      </c>
      <c r="BG12" s="1349" t="s">
        <v>4967</v>
      </c>
      <c r="BH12" s="1350" t="s">
        <v>1726</v>
      </c>
      <c r="BP12" s="1349" t="s">
        <v>2300</v>
      </c>
      <c r="BS12" s="1349" t="s">
        <v>1727</v>
      </c>
      <c r="BZ12" s="1349" t="s">
        <v>4546</v>
      </c>
      <c r="CE12" s="1349" t="s">
        <v>4678</v>
      </c>
      <c r="CF12" s="1349" t="b">
        <v>0</v>
      </c>
    </row>
    <row r="13" spans="1:92">
      <c r="B13" s="1349" t="s">
        <v>2803</v>
      </c>
      <c r="D13" s="1349" t="s">
        <v>3873</v>
      </c>
      <c r="AY13" s="1349" t="s">
        <v>3693</v>
      </c>
      <c r="BC13" s="1349" t="s">
        <v>3693</v>
      </c>
      <c r="BE13" s="1349" t="s">
        <v>4678</v>
      </c>
      <c r="BF13" s="1350" t="s">
        <v>80</v>
      </c>
      <c r="BG13" s="1349" t="s">
        <v>4967</v>
      </c>
      <c r="BH13" s="1350" t="s">
        <v>3433</v>
      </c>
      <c r="BP13" s="1349" t="s">
        <v>2300</v>
      </c>
      <c r="BS13" s="1349" t="s">
        <v>3434</v>
      </c>
      <c r="BZ13" s="1349" t="s">
        <v>4546</v>
      </c>
      <c r="CE13" s="1349" t="s">
        <v>4678</v>
      </c>
      <c r="CF13" s="1349" t="b">
        <v>0</v>
      </c>
    </row>
    <row r="14" spans="1:92">
      <c r="B14" s="1349" t="s">
        <v>4240</v>
      </c>
      <c r="D14" s="1349" t="s">
        <v>4241</v>
      </c>
      <c r="F14" s="1349" t="s">
        <v>4478</v>
      </c>
      <c r="H14" s="1349" t="s">
        <v>4479</v>
      </c>
      <c r="AF14" s="1349" t="s">
        <v>3134</v>
      </c>
      <c r="AL14" s="1349" t="s">
        <v>3135</v>
      </c>
      <c r="AO14" s="1349" t="s">
        <v>2322</v>
      </c>
      <c r="AY14" s="1349" t="s">
        <v>3693</v>
      </c>
      <c r="BC14" s="1349" t="s">
        <v>3693</v>
      </c>
      <c r="BE14" s="1349" t="s">
        <v>4678</v>
      </c>
      <c r="BF14" s="1350" t="s">
        <v>3099</v>
      </c>
      <c r="BG14" s="1349" t="s">
        <v>4967</v>
      </c>
      <c r="BH14" s="1350" t="s">
        <v>4606</v>
      </c>
      <c r="BP14" s="1349" t="s">
        <v>2300</v>
      </c>
      <c r="BS14" s="1349" t="s">
        <v>306</v>
      </c>
      <c r="BZ14" s="1349" t="s">
        <v>4546</v>
      </c>
      <c r="CE14" s="1349" t="s">
        <v>4678</v>
      </c>
      <c r="CF14" s="1349" t="b">
        <v>0</v>
      </c>
    </row>
    <row r="15" spans="1:92">
      <c r="B15" s="1349" t="s">
        <v>3522</v>
      </c>
      <c r="D15" s="1349" t="s">
        <v>347</v>
      </c>
      <c r="L15" s="1349" t="s">
        <v>3670</v>
      </c>
      <c r="O15" s="1349" t="s">
        <v>3692</v>
      </c>
      <c r="AY15" s="1349" t="s">
        <v>3693</v>
      </c>
      <c r="BC15" s="1349" t="s">
        <v>3693</v>
      </c>
      <c r="BE15" s="1349" t="s">
        <v>4678</v>
      </c>
      <c r="BF15" s="1350" t="s">
        <v>74</v>
      </c>
      <c r="BG15" s="1349" t="s">
        <v>4967</v>
      </c>
      <c r="BH15" s="1350" t="s">
        <v>3788</v>
      </c>
      <c r="BP15" s="1349" t="s">
        <v>2300</v>
      </c>
      <c r="BS15" s="1349" t="s">
        <v>3789</v>
      </c>
      <c r="BZ15" s="1349" t="s">
        <v>4546</v>
      </c>
      <c r="CE15" s="1349" t="s">
        <v>4678</v>
      </c>
      <c r="CF15" s="1349" t="b">
        <v>0</v>
      </c>
    </row>
    <row r="16" spans="1:92">
      <c r="B16" s="1349" t="s">
        <v>3790</v>
      </c>
      <c r="D16" s="1349" t="s">
        <v>4155</v>
      </c>
      <c r="I16" s="1349" t="s">
        <v>4156</v>
      </c>
      <c r="L16" s="1349" t="s">
        <v>2175</v>
      </c>
      <c r="O16" s="1349" t="s">
        <v>3692</v>
      </c>
      <c r="AY16" s="1349" t="s">
        <v>3693</v>
      </c>
      <c r="BC16" s="1349" t="s">
        <v>3693</v>
      </c>
      <c r="BE16" s="1349" t="s">
        <v>4678</v>
      </c>
      <c r="BF16" s="1350" t="s">
        <v>2176</v>
      </c>
      <c r="BG16" s="1349" t="s">
        <v>4967</v>
      </c>
      <c r="BH16" s="1350" t="s">
        <v>1642</v>
      </c>
      <c r="BP16" s="1349" t="s">
        <v>2300</v>
      </c>
      <c r="BS16" s="1349" t="s">
        <v>3069</v>
      </c>
      <c r="BZ16" s="1349" t="s">
        <v>855</v>
      </c>
      <c r="CD16" s="1349" t="s">
        <v>5038</v>
      </c>
      <c r="CE16" s="1349" t="s">
        <v>4678</v>
      </c>
      <c r="CF16" s="1349" t="b">
        <v>0</v>
      </c>
    </row>
    <row r="17" spans="2:84">
      <c r="B17" s="1349" t="s">
        <v>5039</v>
      </c>
      <c r="D17" s="1349" t="s">
        <v>5040</v>
      </c>
      <c r="F17" s="1349" t="s">
        <v>5041</v>
      </c>
      <c r="H17" s="1349" t="s">
        <v>4771</v>
      </c>
      <c r="I17" s="1349" t="s">
        <v>1394</v>
      </c>
      <c r="O17" s="1349" t="s">
        <v>3692</v>
      </c>
      <c r="AO17" s="1349" t="s">
        <v>1964</v>
      </c>
      <c r="AY17" s="1349" t="s">
        <v>3693</v>
      </c>
      <c r="BC17" s="1349" t="s">
        <v>3693</v>
      </c>
      <c r="BE17" s="1349" t="s">
        <v>4678</v>
      </c>
      <c r="BF17" s="1350" t="s">
        <v>1965</v>
      </c>
      <c r="BG17" s="1349" t="s">
        <v>4967</v>
      </c>
      <c r="BH17" s="1350" t="s">
        <v>1695</v>
      </c>
      <c r="BP17" s="1349" t="s">
        <v>2300</v>
      </c>
      <c r="BS17" s="1349" t="s">
        <v>4620</v>
      </c>
      <c r="BZ17" s="1349" t="s">
        <v>4546</v>
      </c>
      <c r="CE17" s="1349" t="s">
        <v>4678</v>
      </c>
      <c r="CF17" s="1349" t="b">
        <v>0</v>
      </c>
    </row>
    <row r="18" spans="2:84">
      <c r="B18" s="1349" t="s">
        <v>4621</v>
      </c>
      <c r="D18" s="1349" t="s">
        <v>4622</v>
      </c>
      <c r="AY18" s="1349" t="s">
        <v>3693</v>
      </c>
      <c r="BC18" s="1349" t="s">
        <v>3693</v>
      </c>
      <c r="BE18" s="1349" t="s">
        <v>4678</v>
      </c>
      <c r="BF18" s="1350" t="s">
        <v>4623</v>
      </c>
      <c r="BG18" s="1349" t="s">
        <v>4967</v>
      </c>
      <c r="BH18" s="1350" t="s">
        <v>4623</v>
      </c>
      <c r="BP18" s="1349" t="s">
        <v>2300</v>
      </c>
      <c r="BS18" s="1349" t="s">
        <v>4624</v>
      </c>
      <c r="CE18" s="1349" t="s">
        <v>4678</v>
      </c>
      <c r="CF18" s="1349" t="b">
        <v>0</v>
      </c>
    </row>
    <row r="19" spans="2:84">
      <c r="B19" s="1349" t="s">
        <v>681</v>
      </c>
      <c r="C19" s="1349" t="s">
        <v>2167</v>
      </c>
      <c r="D19" s="1349" t="s">
        <v>1011</v>
      </c>
      <c r="F19" s="1349" t="s">
        <v>817</v>
      </c>
      <c r="AL19" s="1349" t="s">
        <v>4741</v>
      </c>
      <c r="AO19" s="1349" t="s">
        <v>4742</v>
      </c>
      <c r="AY19" s="1349" t="s">
        <v>3693</v>
      </c>
      <c r="BC19" s="1349" t="s">
        <v>3693</v>
      </c>
      <c r="BE19" s="1349" t="s">
        <v>4678</v>
      </c>
      <c r="BF19" s="1350" t="s">
        <v>2361</v>
      </c>
      <c r="BG19" s="1349" t="s">
        <v>4967</v>
      </c>
      <c r="BH19" s="1350" t="s">
        <v>4808</v>
      </c>
      <c r="BP19" s="1349" t="s">
        <v>2300</v>
      </c>
      <c r="BS19" s="1349" t="s">
        <v>2037</v>
      </c>
      <c r="BZ19" s="1349" t="s">
        <v>4546</v>
      </c>
      <c r="CE19" s="1349" t="s">
        <v>4678</v>
      </c>
      <c r="CF19" s="1349" t="b">
        <v>0</v>
      </c>
    </row>
    <row r="20" spans="2:84">
      <c r="B20" s="1349" t="s">
        <v>2038</v>
      </c>
      <c r="C20" s="1349" t="s">
        <v>172</v>
      </c>
      <c r="D20" s="1349" t="s">
        <v>173</v>
      </c>
      <c r="L20" s="1349" t="s">
        <v>1002</v>
      </c>
      <c r="O20" s="1349" t="s">
        <v>3692</v>
      </c>
      <c r="AY20" s="1349" t="s">
        <v>3693</v>
      </c>
      <c r="BC20" s="1349" t="s">
        <v>3693</v>
      </c>
      <c r="BE20" s="1349" t="s">
        <v>4678</v>
      </c>
      <c r="BF20" s="1350" t="s">
        <v>2567</v>
      </c>
      <c r="BG20" s="1349" t="s">
        <v>4967</v>
      </c>
      <c r="BH20" s="1350" t="s">
        <v>2525</v>
      </c>
      <c r="BP20" s="1349" t="s">
        <v>2300</v>
      </c>
      <c r="BS20" s="1349" t="s">
        <v>2526</v>
      </c>
      <c r="CE20" s="1349" t="s">
        <v>4678</v>
      </c>
      <c r="CF20" s="1349" t="b">
        <v>0</v>
      </c>
    </row>
    <row r="21" spans="2:84">
      <c r="B21" s="1349" t="s">
        <v>2527</v>
      </c>
      <c r="D21" s="1349" t="s">
        <v>2528</v>
      </c>
      <c r="E21" s="1349" t="s">
        <v>2529</v>
      </c>
      <c r="F21" s="1349" t="s">
        <v>2530</v>
      </c>
      <c r="AY21" s="1349" t="s">
        <v>3693</v>
      </c>
      <c r="BC21" s="1349" t="s">
        <v>3693</v>
      </c>
      <c r="BE21" s="1349" t="s">
        <v>4678</v>
      </c>
      <c r="BF21" s="1350" t="s">
        <v>2531</v>
      </c>
      <c r="BG21" s="1349" t="s">
        <v>4967</v>
      </c>
      <c r="BH21" s="1350" t="s">
        <v>1081</v>
      </c>
      <c r="BP21" s="1349" t="s">
        <v>2300</v>
      </c>
      <c r="BS21" s="1349" t="s">
        <v>1082</v>
      </c>
      <c r="BZ21" s="1349" t="s">
        <v>4546</v>
      </c>
      <c r="CE21" s="1349" t="s">
        <v>4678</v>
      </c>
      <c r="CF21" s="1349" t="b">
        <v>0</v>
      </c>
    </row>
    <row r="22" spans="2:84">
      <c r="B22" s="1349" t="s">
        <v>1542</v>
      </c>
      <c r="D22" s="1349" t="s">
        <v>2321</v>
      </c>
      <c r="AY22" s="1349" t="s">
        <v>3693</v>
      </c>
      <c r="BC22" s="1349" t="s">
        <v>3693</v>
      </c>
      <c r="BE22" s="1349" t="s">
        <v>4678</v>
      </c>
      <c r="BF22" s="1350" t="s">
        <v>1221</v>
      </c>
      <c r="BG22" s="1349" t="s">
        <v>4967</v>
      </c>
      <c r="BH22" s="1350" t="s">
        <v>4820</v>
      </c>
      <c r="BP22" s="1349" t="s">
        <v>2300</v>
      </c>
      <c r="BS22" s="1349" t="s">
        <v>4821</v>
      </c>
      <c r="BZ22" s="1349" t="s">
        <v>4546</v>
      </c>
      <c r="CE22" s="1349" t="s">
        <v>4678</v>
      </c>
      <c r="CF22" s="1349" t="b">
        <v>0</v>
      </c>
    </row>
    <row r="23" spans="2:84">
      <c r="B23" s="1349" t="s">
        <v>853</v>
      </c>
      <c r="D23" s="1349" t="s">
        <v>854</v>
      </c>
      <c r="H23" s="1349" t="s">
        <v>4822</v>
      </c>
      <c r="AO23" s="1349" t="s">
        <v>4823</v>
      </c>
      <c r="AY23" s="1349" t="s">
        <v>3693</v>
      </c>
      <c r="BC23" s="1349" t="s">
        <v>3693</v>
      </c>
      <c r="BE23" s="1349" t="s">
        <v>4678</v>
      </c>
      <c r="BF23" s="1350" t="s">
        <v>2389</v>
      </c>
      <c r="BG23" s="1349" t="s">
        <v>4967</v>
      </c>
      <c r="BH23" s="1350" t="s">
        <v>4534</v>
      </c>
      <c r="BP23" s="1349" t="s">
        <v>2300</v>
      </c>
      <c r="BS23" s="1349" t="s">
        <v>328</v>
      </c>
      <c r="BZ23" s="1349" t="s">
        <v>4546</v>
      </c>
      <c r="CE23" s="1349" t="s">
        <v>4678</v>
      </c>
      <c r="CF23" s="1349" t="b">
        <v>0</v>
      </c>
    </row>
    <row r="24" spans="2:84">
      <c r="B24" s="1349" t="s">
        <v>2107</v>
      </c>
      <c r="D24" s="1349" t="s">
        <v>2108</v>
      </c>
      <c r="AY24" s="1349" t="s">
        <v>3693</v>
      </c>
      <c r="BC24" s="1349" t="s">
        <v>3693</v>
      </c>
      <c r="BE24" s="1349" t="s">
        <v>4678</v>
      </c>
      <c r="BF24" s="1350" t="s">
        <v>1721</v>
      </c>
      <c r="BG24" s="1349" t="s">
        <v>4967</v>
      </c>
      <c r="BH24" s="1350" t="s">
        <v>600</v>
      </c>
      <c r="BP24" s="1349" t="s">
        <v>2300</v>
      </c>
      <c r="BS24" s="1349" t="s">
        <v>3223</v>
      </c>
      <c r="CE24" s="1349" t="s">
        <v>4678</v>
      </c>
      <c r="CF24" s="1349" t="b">
        <v>0</v>
      </c>
    </row>
    <row r="25" spans="2:84">
      <c r="B25" s="1349" t="s">
        <v>3401</v>
      </c>
      <c r="D25" s="1349" t="s">
        <v>522</v>
      </c>
      <c r="AY25" s="1349" t="s">
        <v>3693</v>
      </c>
      <c r="BC25" s="1349" t="s">
        <v>3693</v>
      </c>
      <c r="BE25" s="1349" t="s">
        <v>4678</v>
      </c>
      <c r="BF25" s="1350" t="s">
        <v>4444</v>
      </c>
      <c r="BG25" s="1349" t="s">
        <v>4967</v>
      </c>
      <c r="BH25" s="1350" t="s">
        <v>523</v>
      </c>
      <c r="BP25" s="1349" t="s">
        <v>2300</v>
      </c>
      <c r="BS25" s="1349" t="s">
        <v>3335</v>
      </c>
      <c r="CE25" s="1349" t="s">
        <v>4678</v>
      </c>
      <c r="CF25" s="1349" t="b">
        <v>0</v>
      </c>
    </row>
    <row r="26" spans="2:84">
      <c r="B26" s="1349" t="s">
        <v>3336</v>
      </c>
      <c r="D26" s="1349" t="s">
        <v>3137</v>
      </c>
      <c r="AY26" s="1349" t="s">
        <v>3693</v>
      </c>
      <c r="BC26" s="1349" t="s">
        <v>3693</v>
      </c>
      <c r="BE26" s="1349" t="s">
        <v>4678</v>
      </c>
      <c r="BF26" s="1350" t="s">
        <v>3138</v>
      </c>
      <c r="BG26" s="1349" t="s">
        <v>4967</v>
      </c>
      <c r="BH26" s="1350" t="s">
        <v>4970</v>
      </c>
      <c r="BP26" s="1349" t="s">
        <v>2300</v>
      </c>
      <c r="BS26" s="1349" t="s">
        <v>4971</v>
      </c>
      <c r="BZ26" s="1349" t="s">
        <v>4546</v>
      </c>
      <c r="CE26" s="1349" t="s">
        <v>4678</v>
      </c>
      <c r="CF26" s="1349" t="b">
        <v>0</v>
      </c>
    </row>
    <row r="27" spans="2:84">
      <c r="B27" s="1349" t="s">
        <v>4972</v>
      </c>
      <c r="D27" s="1349" t="s">
        <v>3685</v>
      </c>
      <c r="AY27" s="1349" t="s">
        <v>3693</v>
      </c>
      <c r="BC27" s="1349" t="s">
        <v>3693</v>
      </c>
      <c r="BE27" s="1349" t="s">
        <v>4678</v>
      </c>
      <c r="BF27" s="1350" t="s">
        <v>2046</v>
      </c>
      <c r="BG27" s="1349" t="s">
        <v>4967</v>
      </c>
      <c r="BH27" s="1350" t="s">
        <v>231</v>
      </c>
      <c r="BP27" s="1349" t="s">
        <v>2300</v>
      </c>
      <c r="BS27" s="1349" t="s">
        <v>1930</v>
      </c>
      <c r="BZ27" s="1349" t="s">
        <v>4546</v>
      </c>
      <c r="CE27" s="1349" t="s">
        <v>4678</v>
      </c>
      <c r="CF27" s="1349" t="b">
        <v>0</v>
      </c>
    </row>
    <row r="28" spans="2:84">
      <c r="B28" s="1349" t="s">
        <v>4972</v>
      </c>
      <c r="D28" s="1349" t="s">
        <v>1931</v>
      </c>
      <c r="AY28" s="1349" t="s">
        <v>3693</v>
      </c>
      <c r="BC28" s="1349" t="s">
        <v>3693</v>
      </c>
      <c r="BE28" s="1349" t="s">
        <v>4678</v>
      </c>
      <c r="BF28" s="1350" t="s">
        <v>3568</v>
      </c>
      <c r="BG28" s="1349" t="s">
        <v>4967</v>
      </c>
      <c r="BH28" s="1350" t="s">
        <v>3569</v>
      </c>
      <c r="BP28" s="1349" t="s">
        <v>2300</v>
      </c>
      <c r="BS28" s="1349" t="s">
        <v>3570</v>
      </c>
      <c r="BZ28" s="1349" t="s">
        <v>4546</v>
      </c>
      <c r="CE28" s="1349" t="s">
        <v>4678</v>
      </c>
      <c r="CF28" s="1349" t="b">
        <v>0</v>
      </c>
    </row>
    <row r="29" spans="2:84">
      <c r="B29" s="1349" t="s">
        <v>3571</v>
      </c>
      <c r="C29" s="1349" t="s">
        <v>3081</v>
      </c>
      <c r="D29" s="1349" t="s">
        <v>3082</v>
      </c>
      <c r="F29" s="1349" t="s">
        <v>3980</v>
      </c>
      <c r="L29" s="1349" t="s">
        <v>1066</v>
      </c>
      <c r="O29" s="1349" t="s">
        <v>3692</v>
      </c>
      <c r="AF29" s="1349" t="s">
        <v>1067</v>
      </c>
      <c r="AL29" s="1349" t="s">
        <v>1068</v>
      </c>
      <c r="AO29" s="1349" t="s">
        <v>1069</v>
      </c>
      <c r="AY29" s="1349" t="s">
        <v>3693</v>
      </c>
      <c r="BC29" s="1349" t="s">
        <v>3693</v>
      </c>
      <c r="BE29" s="1349" t="s">
        <v>4678</v>
      </c>
      <c r="BF29" s="1350" t="s">
        <v>4587</v>
      </c>
      <c r="BG29" s="1349" t="s">
        <v>4967</v>
      </c>
      <c r="BH29" s="1350" t="s">
        <v>4160</v>
      </c>
      <c r="BP29" s="1349" t="s">
        <v>2300</v>
      </c>
      <c r="BS29" s="1349" t="s">
        <v>534</v>
      </c>
      <c r="BZ29" s="1349" t="s">
        <v>4546</v>
      </c>
      <c r="CE29" s="1349" t="s">
        <v>4678</v>
      </c>
      <c r="CF29" s="1349" t="b">
        <v>0</v>
      </c>
    </row>
    <row r="30" spans="2:84">
      <c r="B30" s="1349" t="s">
        <v>535</v>
      </c>
      <c r="D30" s="1349" t="s">
        <v>2167</v>
      </c>
      <c r="AY30" s="1349" t="s">
        <v>3693</v>
      </c>
      <c r="BC30" s="1349" t="s">
        <v>3693</v>
      </c>
      <c r="BE30" s="1349" t="s">
        <v>4678</v>
      </c>
      <c r="BF30" s="1350" t="s">
        <v>2566</v>
      </c>
      <c r="BG30" s="1349" t="s">
        <v>4967</v>
      </c>
      <c r="BH30" s="1350" t="s">
        <v>457</v>
      </c>
      <c r="BP30" s="1349" t="s">
        <v>2300</v>
      </c>
      <c r="BS30" s="1349" t="s">
        <v>2827</v>
      </c>
      <c r="BZ30" s="1349" t="s">
        <v>4546</v>
      </c>
      <c r="CE30" s="1349" t="s">
        <v>4678</v>
      </c>
      <c r="CF30" s="1349" t="b">
        <v>0</v>
      </c>
    </row>
    <row r="31" spans="2:84">
      <c r="B31" s="1349" t="s">
        <v>2828</v>
      </c>
      <c r="D31" s="1349" t="s">
        <v>4355</v>
      </c>
      <c r="AY31" s="1349" t="s">
        <v>3693</v>
      </c>
      <c r="BC31" s="1349" t="s">
        <v>3693</v>
      </c>
      <c r="BE31" s="1349" t="s">
        <v>4678</v>
      </c>
      <c r="BF31" s="1350" t="s">
        <v>3985</v>
      </c>
      <c r="BG31" s="1349" t="s">
        <v>4967</v>
      </c>
      <c r="BH31" s="1350" t="s">
        <v>2088</v>
      </c>
      <c r="BP31" s="1349" t="s">
        <v>2300</v>
      </c>
      <c r="BS31" s="1349" t="s">
        <v>4033</v>
      </c>
      <c r="BZ31" s="1349" t="s">
        <v>4546</v>
      </c>
      <c r="CE31" s="1349" t="s">
        <v>4678</v>
      </c>
      <c r="CF31" s="1349" t="b">
        <v>0</v>
      </c>
    </row>
    <row r="32" spans="2:84">
      <c r="B32" s="1349" t="s">
        <v>4119</v>
      </c>
      <c r="C32" s="1349" t="s">
        <v>724</v>
      </c>
      <c r="D32" s="1349" t="s">
        <v>4118</v>
      </c>
      <c r="AY32" s="1349" t="s">
        <v>3693</v>
      </c>
      <c r="BC32" s="1349" t="s">
        <v>3693</v>
      </c>
      <c r="BE32" s="1349" t="s">
        <v>4678</v>
      </c>
      <c r="BF32" s="1350" t="s">
        <v>1128</v>
      </c>
      <c r="BG32" s="1349" t="s">
        <v>4967</v>
      </c>
      <c r="BH32" s="1350" t="s">
        <v>3596</v>
      </c>
      <c r="BP32" s="1349" t="s">
        <v>2300</v>
      </c>
      <c r="BS32" s="1349" t="s">
        <v>3597</v>
      </c>
      <c r="CE32" s="1349" t="s">
        <v>4678</v>
      </c>
      <c r="CF32" s="1349" t="b">
        <v>0</v>
      </c>
    </row>
    <row r="33" spans="2:84">
      <c r="B33" s="1349" t="s">
        <v>702</v>
      </c>
      <c r="D33" s="1349" t="s">
        <v>4054</v>
      </c>
      <c r="F33" s="1349" t="s">
        <v>2625</v>
      </c>
      <c r="AY33" s="1349" t="s">
        <v>3693</v>
      </c>
      <c r="BC33" s="1349" t="s">
        <v>3693</v>
      </c>
      <c r="BE33" s="1349" t="s">
        <v>4678</v>
      </c>
      <c r="BF33" s="1350" t="s">
        <v>2626</v>
      </c>
      <c r="BG33" s="1349" t="s">
        <v>4967</v>
      </c>
      <c r="BH33" s="1350" t="s">
        <v>2625</v>
      </c>
      <c r="BP33" s="1349" t="s">
        <v>2300</v>
      </c>
      <c r="BS33" s="1349" t="s">
        <v>2137</v>
      </c>
      <c r="BZ33" s="1349" t="s">
        <v>4546</v>
      </c>
      <c r="CE33" s="1349" t="s">
        <v>4678</v>
      </c>
      <c r="CF33" s="1349" t="b">
        <v>0</v>
      </c>
    </row>
    <row r="34" spans="2:84">
      <c r="B34" s="1349" t="s">
        <v>1784</v>
      </c>
      <c r="D34" s="1349" t="s">
        <v>1785</v>
      </c>
      <c r="F34" s="1349" t="s">
        <v>2102</v>
      </c>
      <c r="H34" s="1349" t="s">
        <v>2338</v>
      </c>
      <c r="AY34" s="1349" t="s">
        <v>3693</v>
      </c>
      <c r="BC34" s="1349" t="s">
        <v>3693</v>
      </c>
      <c r="BE34" s="1349" t="s">
        <v>4678</v>
      </c>
      <c r="BF34" s="1350" t="s">
        <v>2517</v>
      </c>
      <c r="BG34" s="1349" t="s">
        <v>4967</v>
      </c>
      <c r="BH34" s="1350" t="s">
        <v>2776</v>
      </c>
      <c r="BP34" s="1349" t="s">
        <v>2300</v>
      </c>
      <c r="BS34" s="1349" t="s">
        <v>2777</v>
      </c>
      <c r="BZ34" s="1349" t="s">
        <v>4546</v>
      </c>
      <c r="CE34" s="1349" t="s">
        <v>4678</v>
      </c>
      <c r="CF34" s="1349" t="b">
        <v>0</v>
      </c>
    </row>
    <row r="35" spans="2:84">
      <c r="B35" s="1349" t="s">
        <v>2778</v>
      </c>
      <c r="C35" s="1349" t="s">
        <v>2779</v>
      </c>
      <c r="D35" s="1349" t="s">
        <v>445</v>
      </c>
      <c r="AY35" s="1349" t="s">
        <v>3693</v>
      </c>
      <c r="BC35" s="1349" t="s">
        <v>3693</v>
      </c>
      <c r="BE35" s="1349" t="s">
        <v>4678</v>
      </c>
      <c r="BF35" s="1350" t="s">
        <v>4296</v>
      </c>
      <c r="BG35" s="1349" t="s">
        <v>4967</v>
      </c>
      <c r="BH35" s="1350" t="s">
        <v>1027</v>
      </c>
      <c r="BP35" s="1349" t="s">
        <v>2300</v>
      </c>
      <c r="BS35" s="1349" t="s">
        <v>1028</v>
      </c>
      <c r="BZ35" s="1349" t="s">
        <v>4546</v>
      </c>
      <c r="CE35" s="1349" t="s">
        <v>4678</v>
      </c>
      <c r="CF35" s="1349" t="b">
        <v>0</v>
      </c>
    </row>
    <row r="36" spans="2:84">
      <c r="B36" s="1349" t="s">
        <v>4727</v>
      </c>
      <c r="F36" s="1349" t="s">
        <v>4478</v>
      </c>
      <c r="L36" s="1349" t="s">
        <v>4728</v>
      </c>
      <c r="O36" s="1349" t="s">
        <v>3692</v>
      </c>
      <c r="AF36" s="1349" t="s">
        <v>4729</v>
      </c>
      <c r="AY36" s="1349" t="s">
        <v>3693</v>
      </c>
      <c r="BC36" s="1349" t="s">
        <v>3693</v>
      </c>
      <c r="BE36" s="1349" t="s">
        <v>4678</v>
      </c>
      <c r="BF36" s="1350" t="s">
        <v>4869</v>
      </c>
      <c r="BG36" s="1349" t="s">
        <v>4967</v>
      </c>
      <c r="BH36" s="1350" t="s">
        <v>4588</v>
      </c>
      <c r="BP36" s="1349" t="s">
        <v>2300</v>
      </c>
      <c r="BS36" s="1349" t="s">
        <v>4589</v>
      </c>
      <c r="BZ36" s="1349" t="s">
        <v>4195</v>
      </c>
      <c r="CE36" s="1349" t="s">
        <v>4678</v>
      </c>
      <c r="CF36" s="1349" t="b">
        <v>0</v>
      </c>
    </row>
    <row r="37" spans="2:84">
      <c r="B37" s="1349" t="s">
        <v>4196</v>
      </c>
      <c r="D37" s="1349" t="s">
        <v>2763</v>
      </c>
      <c r="AY37" s="1349" t="s">
        <v>3693</v>
      </c>
      <c r="BC37" s="1349" t="s">
        <v>3693</v>
      </c>
      <c r="BE37" s="1349" t="s">
        <v>4678</v>
      </c>
      <c r="BF37" s="1350" t="s">
        <v>3136</v>
      </c>
      <c r="BG37" s="1349" t="s">
        <v>4967</v>
      </c>
      <c r="BH37" s="1350" t="s">
        <v>2117</v>
      </c>
      <c r="BI37" s="1349" t="s">
        <v>3136</v>
      </c>
      <c r="BJ37" s="1349" t="s">
        <v>4967</v>
      </c>
      <c r="BK37" s="1349" t="s">
        <v>619</v>
      </c>
      <c r="BP37" s="1349" t="s">
        <v>2300</v>
      </c>
      <c r="BS37" s="1349" t="s">
        <v>620</v>
      </c>
      <c r="CE37" s="1349" t="s">
        <v>4678</v>
      </c>
      <c r="CF37" s="1349" t="b">
        <v>0</v>
      </c>
    </row>
    <row r="38" spans="2:84">
      <c r="B38" s="1349" t="s">
        <v>1660</v>
      </c>
      <c r="C38" s="1349" t="s">
        <v>1661</v>
      </c>
      <c r="D38" s="1349" t="s">
        <v>3594</v>
      </c>
      <c r="AY38" s="1349" t="s">
        <v>3693</v>
      </c>
      <c r="BC38" s="1349" t="s">
        <v>3693</v>
      </c>
      <c r="BE38" s="1349" t="s">
        <v>4678</v>
      </c>
      <c r="BF38" s="1350" t="s">
        <v>995</v>
      </c>
      <c r="BG38" s="1349" t="s">
        <v>4967</v>
      </c>
      <c r="BH38" s="1350" t="s">
        <v>4792</v>
      </c>
      <c r="BP38" s="1349" t="s">
        <v>2300</v>
      </c>
      <c r="BS38" s="1349" t="s">
        <v>4996</v>
      </c>
      <c r="CE38" s="1349" t="s">
        <v>4678</v>
      </c>
      <c r="CF38" s="1349" t="b">
        <v>0</v>
      </c>
    </row>
    <row r="39" spans="2:84">
      <c r="B39" s="1349" t="s">
        <v>4997</v>
      </c>
      <c r="C39" s="1349" t="s">
        <v>4998</v>
      </c>
      <c r="D39" s="1349" t="s">
        <v>4999</v>
      </c>
      <c r="AF39" s="1349" t="s">
        <v>2325</v>
      </c>
      <c r="AL39" s="1349" t="s">
        <v>3767</v>
      </c>
      <c r="AO39" s="1349" t="s">
        <v>3834</v>
      </c>
      <c r="AY39" s="1349" t="s">
        <v>3693</v>
      </c>
      <c r="BC39" s="1349" t="s">
        <v>3693</v>
      </c>
      <c r="BE39" s="1349" t="s">
        <v>4678</v>
      </c>
      <c r="BF39" s="1350" t="s">
        <v>1905</v>
      </c>
      <c r="BG39" s="1349" t="s">
        <v>4967</v>
      </c>
      <c r="BH39" s="1350" t="s">
        <v>4448</v>
      </c>
      <c r="BP39" s="1349" t="s">
        <v>2300</v>
      </c>
      <c r="BS39" s="1349" t="s">
        <v>2627</v>
      </c>
      <c r="BZ39" s="1349" t="s">
        <v>4546</v>
      </c>
      <c r="CE39" s="1349" t="s">
        <v>4678</v>
      </c>
      <c r="CF39" s="1349" t="b">
        <v>0</v>
      </c>
    </row>
    <row r="40" spans="2:84">
      <c r="B40" s="1349" t="s">
        <v>2628</v>
      </c>
      <c r="C40" s="1349" t="s">
        <v>2629</v>
      </c>
      <c r="D40" s="1349" t="s">
        <v>547</v>
      </c>
      <c r="F40" s="1349" t="s">
        <v>547</v>
      </c>
      <c r="AY40" s="1349" t="s">
        <v>3693</v>
      </c>
      <c r="BC40" s="1349" t="s">
        <v>3693</v>
      </c>
      <c r="BE40" s="1349" t="s">
        <v>4678</v>
      </c>
      <c r="BF40" s="1350" t="s">
        <v>548</v>
      </c>
      <c r="BG40" s="1349" t="s">
        <v>4967</v>
      </c>
      <c r="BH40" s="1350" t="s">
        <v>879</v>
      </c>
      <c r="BP40" s="1349" t="s">
        <v>2300</v>
      </c>
      <c r="BS40" s="1349" t="s">
        <v>4899</v>
      </c>
      <c r="BZ40" s="1349" t="s">
        <v>4546</v>
      </c>
      <c r="CE40" s="1349" t="s">
        <v>4678</v>
      </c>
      <c r="CF40" s="1349" t="b">
        <v>0</v>
      </c>
    </row>
    <row r="41" spans="2:84">
      <c r="B41" s="1349" t="s">
        <v>3372</v>
      </c>
      <c r="D41" s="1349" t="s">
        <v>4900</v>
      </c>
      <c r="AY41" s="1349" t="s">
        <v>3693</v>
      </c>
      <c r="BC41" s="1349" t="s">
        <v>3693</v>
      </c>
      <c r="BE41" s="1349" t="s">
        <v>4678</v>
      </c>
      <c r="BF41" s="1350" t="s">
        <v>1165</v>
      </c>
      <c r="BG41" s="1349" t="s">
        <v>4967</v>
      </c>
      <c r="BH41" s="1350" t="s">
        <v>4886</v>
      </c>
      <c r="BP41" s="1349" t="s">
        <v>2300</v>
      </c>
      <c r="BS41" s="1349" t="s">
        <v>4717</v>
      </c>
      <c r="BZ41" s="1349" t="s">
        <v>4546</v>
      </c>
      <c r="CE41" s="1349" t="s">
        <v>4678</v>
      </c>
      <c r="CF41" s="1349" t="b">
        <v>0</v>
      </c>
    </row>
    <row r="42" spans="2:84">
      <c r="B42" s="1349" t="s">
        <v>4718</v>
      </c>
      <c r="D42" s="1349" t="s">
        <v>4719</v>
      </c>
      <c r="AY42" s="1349" t="s">
        <v>3693</v>
      </c>
      <c r="BC42" s="1349" t="s">
        <v>3693</v>
      </c>
      <c r="BE42" s="1349" t="s">
        <v>4678</v>
      </c>
      <c r="BF42" s="1350" t="s">
        <v>4167</v>
      </c>
      <c r="BG42" s="1349" t="s">
        <v>4967</v>
      </c>
      <c r="BH42" s="1350" t="s">
        <v>4168</v>
      </c>
      <c r="BP42" s="1349" t="s">
        <v>2300</v>
      </c>
      <c r="BS42" s="1349" t="s">
        <v>4169</v>
      </c>
      <c r="BZ42" s="1349" t="s">
        <v>4546</v>
      </c>
      <c r="CE42" s="1349" t="s">
        <v>4678</v>
      </c>
      <c r="CF42" s="1349" t="b">
        <v>0</v>
      </c>
    </row>
    <row r="43" spans="2:84">
      <c r="B43" s="1349" t="s">
        <v>4170</v>
      </c>
      <c r="D43" s="1349" t="s">
        <v>1543</v>
      </c>
      <c r="AY43" s="1349" t="s">
        <v>3693</v>
      </c>
      <c r="BC43" s="1349" t="s">
        <v>3693</v>
      </c>
      <c r="BE43" s="1349" t="s">
        <v>4678</v>
      </c>
      <c r="BF43" s="1350" t="s">
        <v>2662</v>
      </c>
      <c r="BG43" s="1349" t="s">
        <v>4967</v>
      </c>
      <c r="BH43" s="1350" t="s">
        <v>2663</v>
      </c>
      <c r="BP43" s="1349" t="s">
        <v>2300</v>
      </c>
      <c r="BS43" s="1349" t="s">
        <v>2664</v>
      </c>
      <c r="BZ43" s="1349" t="s">
        <v>4546</v>
      </c>
      <c r="CE43" s="1349" t="s">
        <v>4678</v>
      </c>
      <c r="CF43" s="1349" t="b">
        <v>0</v>
      </c>
    </row>
    <row r="44" spans="2:84">
      <c r="B44" s="1349" t="s">
        <v>2657</v>
      </c>
      <c r="D44" s="1349" t="s">
        <v>1501</v>
      </c>
      <c r="AY44" s="1349" t="s">
        <v>3693</v>
      </c>
      <c r="BC44" s="1349" t="s">
        <v>3693</v>
      </c>
      <c r="BE44" s="1349" t="s">
        <v>4678</v>
      </c>
      <c r="BF44" s="1350" t="s">
        <v>1777</v>
      </c>
      <c r="BG44" s="1349" t="s">
        <v>4967</v>
      </c>
      <c r="BH44" s="1350" t="s">
        <v>387</v>
      </c>
      <c r="BP44" s="1349" t="s">
        <v>2300</v>
      </c>
      <c r="BS44" s="1349" t="s">
        <v>388</v>
      </c>
      <c r="BZ44" s="1349" t="s">
        <v>4546</v>
      </c>
      <c r="CE44" s="1349" t="s">
        <v>4678</v>
      </c>
      <c r="CF44" s="1349" t="b">
        <v>0</v>
      </c>
    </row>
    <row r="45" spans="2:84">
      <c r="B45" s="1349" t="s">
        <v>4116</v>
      </c>
      <c r="C45" s="1349" t="s">
        <v>176</v>
      </c>
      <c r="D45" s="1349" t="s">
        <v>3344</v>
      </c>
      <c r="AY45" s="1349" t="s">
        <v>3693</v>
      </c>
      <c r="BC45" s="1349" t="s">
        <v>3693</v>
      </c>
      <c r="BE45" s="1349" t="s">
        <v>4678</v>
      </c>
      <c r="BF45" s="1350" t="s">
        <v>2360</v>
      </c>
      <c r="BG45" s="1349" t="s">
        <v>4967</v>
      </c>
      <c r="BH45" s="1350" t="s">
        <v>1691</v>
      </c>
      <c r="BP45" s="1349" t="s">
        <v>2300</v>
      </c>
      <c r="BS45" s="1349" t="s">
        <v>1692</v>
      </c>
      <c r="BZ45" s="1349" t="s">
        <v>4546</v>
      </c>
      <c r="CE45" s="1349" t="s">
        <v>4678</v>
      </c>
      <c r="CF45" s="1349" t="b">
        <v>0</v>
      </c>
    </row>
    <row r="46" spans="2:84">
      <c r="C46" s="1349" t="s">
        <v>3654</v>
      </c>
      <c r="D46" s="1349" t="s">
        <v>1745</v>
      </c>
      <c r="AY46" s="1349" t="s">
        <v>3693</v>
      </c>
      <c r="BC46" s="1349" t="s">
        <v>3693</v>
      </c>
      <c r="BE46" s="1349" t="s">
        <v>4678</v>
      </c>
      <c r="BF46" s="1350" t="s">
        <v>1746</v>
      </c>
      <c r="BG46" s="1349" t="s">
        <v>4967</v>
      </c>
      <c r="BH46" s="1350" t="s">
        <v>2047</v>
      </c>
      <c r="BP46" s="1349" t="s">
        <v>2300</v>
      </c>
      <c r="BS46" s="1349" t="s">
        <v>2403</v>
      </c>
      <c r="BZ46" s="1349" t="s">
        <v>4546</v>
      </c>
      <c r="CE46" s="1349" t="s">
        <v>4678</v>
      </c>
      <c r="CF46" s="1349" t="b">
        <v>0</v>
      </c>
    </row>
    <row r="47" spans="2:84">
      <c r="B47" s="1349" t="s">
        <v>1542</v>
      </c>
      <c r="C47" s="1349" t="s">
        <v>3560</v>
      </c>
      <c r="D47" s="1349" t="s">
        <v>2404</v>
      </c>
      <c r="AY47" s="1349" t="s">
        <v>3693</v>
      </c>
      <c r="BC47" s="1349" t="s">
        <v>3693</v>
      </c>
      <c r="BE47" s="1349" t="s">
        <v>4678</v>
      </c>
      <c r="BF47" s="1350" t="s">
        <v>2860</v>
      </c>
      <c r="BG47" s="1349" t="s">
        <v>4967</v>
      </c>
      <c r="BH47" s="1350" t="s">
        <v>4973</v>
      </c>
      <c r="BP47" s="1349" t="s">
        <v>2300</v>
      </c>
      <c r="BS47" s="1349" t="s">
        <v>1407</v>
      </c>
      <c r="BZ47" s="1349" t="s">
        <v>4546</v>
      </c>
      <c r="CE47" s="1349" t="s">
        <v>4678</v>
      </c>
      <c r="CF47" s="1349" t="b">
        <v>0</v>
      </c>
    </row>
    <row r="48" spans="2:84">
      <c r="B48" s="1349" t="s">
        <v>2411</v>
      </c>
      <c r="C48" s="1349" t="s">
        <v>4117</v>
      </c>
      <c r="D48" s="1349" t="s">
        <v>1225</v>
      </c>
      <c r="AY48" s="1349" t="s">
        <v>3693</v>
      </c>
      <c r="BC48" s="1349" t="s">
        <v>3693</v>
      </c>
      <c r="BE48" s="1349" t="s">
        <v>4678</v>
      </c>
      <c r="BF48" s="1350" t="s">
        <v>4035</v>
      </c>
      <c r="BG48" s="1349" t="s">
        <v>4967</v>
      </c>
      <c r="BH48" s="1350" t="s">
        <v>4036</v>
      </c>
      <c r="BP48" s="1349" t="s">
        <v>2300</v>
      </c>
      <c r="BS48" s="1349" t="s">
        <v>352</v>
      </c>
      <c r="BZ48" s="1349" t="s">
        <v>4546</v>
      </c>
      <c r="CE48" s="1349" t="s">
        <v>4678</v>
      </c>
      <c r="CF48" s="1349" t="b">
        <v>0</v>
      </c>
    </row>
    <row r="49" spans="2:84">
      <c r="B49" s="1349" t="s">
        <v>4115</v>
      </c>
      <c r="D49" s="1349" t="s">
        <v>353</v>
      </c>
      <c r="AY49" s="1349" t="s">
        <v>3693</v>
      </c>
      <c r="BC49" s="1349" t="s">
        <v>3693</v>
      </c>
      <c r="BE49" s="1349" t="s">
        <v>4678</v>
      </c>
      <c r="BF49" s="1350" t="s">
        <v>354</v>
      </c>
      <c r="BG49" s="1349" t="s">
        <v>4967</v>
      </c>
      <c r="BH49" s="1350" t="s">
        <v>355</v>
      </c>
      <c r="BP49" s="1349" t="s">
        <v>2300</v>
      </c>
      <c r="BS49" s="1349" t="s">
        <v>1518</v>
      </c>
      <c r="BZ49" s="1349" t="s">
        <v>4546</v>
      </c>
      <c r="CE49" s="1349" t="s">
        <v>4678</v>
      </c>
      <c r="CF49" s="1349" t="b">
        <v>0</v>
      </c>
    </row>
    <row r="50" spans="2:84">
      <c r="B50" s="1349" t="s">
        <v>1519</v>
      </c>
      <c r="AY50" s="1349" t="s">
        <v>3693</v>
      </c>
      <c r="BC50" s="1349" t="s">
        <v>3693</v>
      </c>
      <c r="BE50" s="1349" t="s">
        <v>4678</v>
      </c>
      <c r="BF50" s="1350" t="s">
        <v>2756</v>
      </c>
      <c r="BG50" s="1349" t="s">
        <v>4967</v>
      </c>
      <c r="BH50" s="1350" t="s">
        <v>1519</v>
      </c>
      <c r="BP50" s="1349" t="s">
        <v>2300</v>
      </c>
      <c r="BS50" s="1349" t="s">
        <v>4876</v>
      </c>
      <c r="CE50" s="1349" t="s">
        <v>4678</v>
      </c>
      <c r="CF50" s="1349" t="b">
        <v>0</v>
      </c>
    </row>
    <row r="51" spans="2:84">
      <c r="B51" s="1349" t="s">
        <v>1542</v>
      </c>
      <c r="D51" s="1349" t="s">
        <v>2118</v>
      </c>
      <c r="AY51" s="1349" t="s">
        <v>3693</v>
      </c>
      <c r="BC51" s="1349" t="s">
        <v>3693</v>
      </c>
      <c r="BE51" s="1349" t="s">
        <v>4678</v>
      </c>
      <c r="BF51" s="1350" t="s">
        <v>1705</v>
      </c>
      <c r="BG51" s="1349" t="s">
        <v>4967</v>
      </c>
      <c r="BH51" s="1350" t="s">
        <v>1706</v>
      </c>
      <c r="BP51" s="1349" t="s">
        <v>2300</v>
      </c>
      <c r="BS51" s="1349" t="s">
        <v>2998</v>
      </c>
      <c r="CE51" s="1349" t="s">
        <v>4678</v>
      </c>
      <c r="CF51" s="1349" t="b">
        <v>0</v>
      </c>
    </row>
    <row r="52" spans="2:84">
      <c r="B52" s="1349" t="s">
        <v>1542</v>
      </c>
      <c r="C52" s="1349" t="s">
        <v>2999</v>
      </c>
      <c r="D52" s="1349" t="s">
        <v>3000</v>
      </c>
      <c r="AY52" s="1349" t="s">
        <v>3693</v>
      </c>
      <c r="BC52" s="1349" t="s">
        <v>3693</v>
      </c>
      <c r="BE52" s="1349" t="s">
        <v>4678</v>
      </c>
      <c r="BF52" s="1350" t="s">
        <v>3993</v>
      </c>
      <c r="BG52" s="1349" t="s">
        <v>4967</v>
      </c>
      <c r="BH52" s="1350" t="s">
        <v>1372</v>
      </c>
      <c r="BP52" s="1349" t="s">
        <v>2300</v>
      </c>
      <c r="BS52" s="1349" t="s">
        <v>1373</v>
      </c>
      <c r="CE52" s="1349" t="s">
        <v>4678</v>
      </c>
      <c r="CF52" s="1349" t="b">
        <v>0</v>
      </c>
    </row>
    <row r="53" spans="2:84">
      <c r="B53" s="1349" t="s">
        <v>4047</v>
      </c>
      <c r="C53" s="1349" t="s">
        <v>266</v>
      </c>
      <c r="D53" s="1349" t="s">
        <v>4046</v>
      </c>
      <c r="AY53" s="1349" t="s">
        <v>3693</v>
      </c>
      <c r="BC53" s="1349" t="s">
        <v>3693</v>
      </c>
      <c r="BE53" s="1349" t="s">
        <v>4678</v>
      </c>
      <c r="BF53" s="1350" t="s">
        <v>267</v>
      </c>
      <c r="BG53" s="1349" t="s">
        <v>4967</v>
      </c>
      <c r="BH53" s="1350" t="s">
        <v>268</v>
      </c>
      <c r="BP53" s="1349" t="s">
        <v>2300</v>
      </c>
      <c r="BS53" s="1349" t="s">
        <v>3308</v>
      </c>
      <c r="CE53" s="1349" t="s">
        <v>4678</v>
      </c>
      <c r="CF53" s="1349" t="b">
        <v>0</v>
      </c>
    </row>
    <row r="54" spans="2:84">
      <c r="B54" s="1349" t="s">
        <v>1427</v>
      </c>
      <c r="AY54" s="1349" t="s">
        <v>3693</v>
      </c>
      <c r="BC54" s="1349" t="s">
        <v>3693</v>
      </c>
      <c r="BE54" s="1349" t="s">
        <v>4678</v>
      </c>
      <c r="BF54" s="1350" t="s">
        <v>1218</v>
      </c>
      <c r="BG54" s="1349" t="s">
        <v>4967</v>
      </c>
      <c r="BH54" s="1350" t="s">
        <v>1427</v>
      </c>
      <c r="BP54" s="1349" t="s">
        <v>2300</v>
      </c>
      <c r="BS54" s="1349" t="s">
        <v>3513</v>
      </c>
      <c r="CE54" s="1349" t="s">
        <v>4678</v>
      </c>
      <c r="CF54" s="1349" t="b">
        <v>0</v>
      </c>
    </row>
    <row r="55" spans="2:84">
      <c r="B55" s="1349" t="s">
        <v>3514</v>
      </c>
      <c r="D55" s="1349" t="s">
        <v>3515</v>
      </c>
      <c r="AY55" s="1349" t="s">
        <v>3693</v>
      </c>
      <c r="BC55" s="1349" t="s">
        <v>3693</v>
      </c>
      <c r="BE55" s="1349" t="s">
        <v>4678</v>
      </c>
      <c r="BF55" s="1350" t="s">
        <v>1341</v>
      </c>
      <c r="BG55" s="1349" t="s">
        <v>4967</v>
      </c>
      <c r="BH55" s="1350" t="s">
        <v>480</v>
      </c>
      <c r="BP55" s="1349" t="s">
        <v>2300</v>
      </c>
      <c r="BS55" s="1349" t="s">
        <v>2849</v>
      </c>
      <c r="CE55" s="1349" t="s">
        <v>4678</v>
      </c>
      <c r="CF55" s="1349" t="b">
        <v>0</v>
      </c>
    </row>
    <row r="56" spans="2:84">
      <c r="B56" s="1349" t="s">
        <v>4115</v>
      </c>
      <c r="C56" s="1349" t="s">
        <v>3515</v>
      </c>
      <c r="D56" s="1349" t="s">
        <v>3987</v>
      </c>
      <c r="AY56" s="1349" t="s">
        <v>3693</v>
      </c>
      <c r="BC56" s="1349" t="s">
        <v>3693</v>
      </c>
      <c r="BE56" s="1349" t="s">
        <v>4678</v>
      </c>
      <c r="BF56" s="1350" t="s">
        <v>3948</v>
      </c>
      <c r="BG56" s="1349" t="s">
        <v>4967</v>
      </c>
      <c r="BH56" s="1350" t="s">
        <v>2574</v>
      </c>
      <c r="BP56" s="1349" t="s">
        <v>2300</v>
      </c>
      <c r="BS56" s="1349" t="s">
        <v>3335</v>
      </c>
      <c r="CE56" s="1349" t="s">
        <v>4678</v>
      </c>
      <c r="CF56" s="1349" t="b">
        <v>0</v>
      </c>
    </row>
    <row r="57" spans="2:84">
      <c r="B57" s="1349" t="s">
        <v>4115</v>
      </c>
      <c r="C57" s="1349" t="s">
        <v>3522</v>
      </c>
      <c r="D57" s="1349" t="s">
        <v>3515</v>
      </c>
      <c r="AY57" s="1349" t="s">
        <v>3693</v>
      </c>
      <c r="BC57" s="1349" t="s">
        <v>3693</v>
      </c>
      <c r="BE57" s="1349" t="s">
        <v>4678</v>
      </c>
      <c r="BF57" s="1350" t="s">
        <v>1418</v>
      </c>
      <c r="BG57" s="1349" t="s">
        <v>4967</v>
      </c>
      <c r="BH57" s="1350" t="s">
        <v>1419</v>
      </c>
      <c r="BP57" s="1349" t="s">
        <v>2300</v>
      </c>
      <c r="BS57" s="1349" t="s">
        <v>4490</v>
      </c>
      <c r="CE57" s="1349" t="s">
        <v>4678</v>
      </c>
      <c r="CF57" s="1349" t="b">
        <v>0</v>
      </c>
    </row>
    <row r="58" spans="2:84">
      <c r="B58" s="1349" t="s">
        <v>4491</v>
      </c>
      <c r="D58" s="1349" t="s">
        <v>3515</v>
      </c>
      <c r="AY58" s="1349" t="s">
        <v>3693</v>
      </c>
      <c r="BC58" s="1349" t="s">
        <v>3693</v>
      </c>
      <c r="BE58" s="1349" t="s">
        <v>4678</v>
      </c>
      <c r="BF58" s="1350" t="s">
        <v>1619</v>
      </c>
      <c r="BG58" s="1349" t="s">
        <v>4967</v>
      </c>
      <c r="BH58" s="1350" t="s">
        <v>1620</v>
      </c>
      <c r="BP58" s="1349" t="s">
        <v>2300</v>
      </c>
      <c r="BS58" s="1349" t="s">
        <v>1621</v>
      </c>
      <c r="CE58" s="1349" t="s">
        <v>4678</v>
      </c>
      <c r="CF58" s="1349" t="b">
        <v>0</v>
      </c>
    </row>
    <row r="59" spans="2:84">
      <c r="B59" s="1349" t="s">
        <v>4491</v>
      </c>
      <c r="D59" s="1349" t="s">
        <v>3515</v>
      </c>
      <c r="AY59" s="1349" t="s">
        <v>3693</v>
      </c>
      <c r="BC59" s="1349" t="s">
        <v>3693</v>
      </c>
      <c r="BE59" s="1349" t="s">
        <v>4678</v>
      </c>
      <c r="BF59" s="1350" t="s">
        <v>832</v>
      </c>
      <c r="BG59" s="1349" t="s">
        <v>4967</v>
      </c>
      <c r="BH59" s="1350" t="s">
        <v>1620</v>
      </c>
      <c r="BP59" s="1349" t="s">
        <v>2300</v>
      </c>
      <c r="BS59" s="1349" t="s">
        <v>1621</v>
      </c>
      <c r="CE59" s="1349" t="s">
        <v>4678</v>
      </c>
      <c r="CF59" s="1349" t="b">
        <v>0</v>
      </c>
    </row>
    <row r="60" spans="2:84">
      <c r="B60" s="1349" t="s">
        <v>833</v>
      </c>
      <c r="D60" s="1349" t="s">
        <v>834</v>
      </c>
      <c r="AY60" s="1349" t="s">
        <v>3693</v>
      </c>
      <c r="BC60" s="1349" t="s">
        <v>3693</v>
      </c>
      <c r="BE60" s="1349" t="s">
        <v>4678</v>
      </c>
      <c r="BF60" s="1350" t="s">
        <v>2093</v>
      </c>
      <c r="BG60" s="1349" t="s">
        <v>4967</v>
      </c>
      <c r="BH60" s="1350" t="s">
        <v>1752</v>
      </c>
      <c r="BP60" s="1349" t="s">
        <v>2300</v>
      </c>
      <c r="BS60" s="1349" t="s">
        <v>1753</v>
      </c>
      <c r="CE60" s="1349" t="s">
        <v>4678</v>
      </c>
      <c r="CF60" s="1349" t="b">
        <v>0</v>
      </c>
    </row>
    <row r="61" spans="2:84">
      <c r="B61" s="1349" t="s">
        <v>833</v>
      </c>
      <c r="D61" s="1349" t="s">
        <v>834</v>
      </c>
      <c r="AY61" s="1349" t="s">
        <v>3693</v>
      </c>
      <c r="BC61" s="1349" t="s">
        <v>3693</v>
      </c>
      <c r="BE61" s="1349" t="s">
        <v>4678</v>
      </c>
      <c r="BF61" s="1350" t="s">
        <v>381</v>
      </c>
      <c r="BG61" s="1349" t="s">
        <v>4967</v>
      </c>
      <c r="BH61" s="1350" t="s">
        <v>1752</v>
      </c>
      <c r="BP61" s="1349" t="s">
        <v>2300</v>
      </c>
      <c r="BS61" s="1349" t="s">
        <v>1753</v>
      </c>
      <c r="CE61" s="1349" t="s">
        <v>4678</v>
      </c>
      <c r="CF61" s="1349" t="b">
        <v>0</v>
      </c>
    </row>
    <row r="62" spans="2:84">
      <c r="B62" s="1349" t="s">
        <v>382</v>
      </c>
      <c r="D62" s="1349" t="s">
        <v>3515</v>
      </c>
      <c r="AY62" s="1349" t="s">
        <v>3693</v>
      </c>
      <c r="BC62" s="1349" t="s">
        <v>3693</v>
      </c>
      <c r="BE62" s="1349" t="s">
        <v>4678</v>
      </c>
      <c r="BF62" s="1350" t="s">
        <v>383</v>
      </c>
      <c r="BG62" s="1349" t="s">
        <v>4967</v>
      </c>
      <c r="BH62" s="1350" t="s">
        <v>1419</v>
      </c>
      <c r="BP62" s="1349" t="s">
        <v>2300</v>
      </c>
      <c r="BS62" s="1349" t="s">
        <v>4490</v>
      </c>
      <c r="CE62" s="1349" t="s">
        <v>4678</v>
      </c>
      <c r="CF62" s="1349" t="b">
        <v>0</v>
      </c>
    </row>
    <row r="63" spans="2:84">
      <c r="B63" s="1349" t="s">
        <v>1227</v>
      </c>
      <c r="C63" s="1349" t="s">
        <v>384</v>
      </c>
      <c r="D63" s="1349" t="s">
        <v>3168</v>
      </c>
      <c r="AY63" s="1349" t="s">
        <v>3693</v>
      </c>
      <c r="BC63" s="1349" t="s">
        <v>3693</v>
      </c>
      <c r="BE63" s="1349" t="s">
        <v>4678</v>
      </c>
      <c r="BF63" s="1350" t="s">
        <v>2510</v>
      </c>
      <c r="BG63" s="1349" t="s">
        <v>4967</v>
      </c>
      <c r="BH63" s="1350" t="s">
        <v>2163</v>
      </c>
      <c r="BP63" s="1349" t="s">
        <v>2300</v>
      </c>
      <c r="BS63" s="1349" t="s">
        <v>2164</v>
      </c>
      <c r="CE63" s="1349" t="s">
        <v>4678</v>
      </c>
      <c r="CF63" s="1349" t="b">
        <v>0</v>
      </c>
    </row>
    <row r="64" spans="2:84">
      <c r="B64" s="1349" t="s">
        <v>2165</v>
      </c>
      <c r="D64" s="1349" t="s">
        <v>3515</v>
      </c>
      <c r="AY64" s="1349" t="s">
        <v>3693</v>
      </c>
      <c r="BC64" s="1349" t="s">
        <v>3693</v>
      </c>
      <c r="BE64" s="1349" t="s">
        <v>4678</v>
      </c>
      <c r="BF64" s="1350" t="s">
        <v>1012</v>
      </c>
      <c r="BG64" s="1349" t="s">
        <v>4967</v>
      </c>
      <c r="BH64" s="1350" t="s">
        <v>4785</v>
      </c>
      <c r="BP64" s="1349" t="s">
        <v>2300</v>
      </c>
      <c r="BS64" s="1349" t="s">
        <v>4786</v>
      </c>
      <c r="CE64" s="1349" t="s">
        <v>4678</v>
      </c>
      <c r="CF64" s="1349" t="b">
        <v>0</v>
      </c>
    </row>
    <row r="65" spans="2:84">
      <c r="B65" s="1349" t="s">
        <v>2530</v>
      </c>
      <c r="C65" s="1349" t="s">
        <v>3184</v>
      </c>
      <c r="D65" s="1349" t="s">
        <v>3185</v>
      </c>
      <c r="F65" s="1349" t="s">
        <v>2870</v>
      </c>
      <c r="H65" s="1349" t="s">
        <v>455</v>
      </c>
      <c r="L65" s="1349" t="s">
        <v>456</v>
      </c>
      <c r="O65" s="1349" t="s">
        <v>3692</v>
      </c>
      <c r="AE65" s="1349" t="s">
        <v>1968</v>
      </c>
      <c r="AF65" s="1349" t="s">
        <v>4802</v>
      </c>
      <c r="AL65" s="1349" t="s">
        <v>863</v>
      </c>
      <c r="AO65" s="1349" t="s">
        <v>4469</v>
      </c>
      <c r="AY65" s="1349" t="s">
        <v>3693</v>
      </c>
      <c r="BC65" s="1349" t="s">
        <v>3693</v>
      </c>
      <c r="BE65" s="1349" t="s">
        <v>4678</v>
      </c>
      <c r="BF65" s="1350" t="s">
        <v>4470</v>
      </c>
      <c r="BG65" s="1349" t="s">
        <v>4967</v>
      </c>
      <c r="BH65" s="1350" t="s">
        <v>1739</v>
      </c>
      <c r="BI65" s="1349" t="s">
        <v>2531</v>
      </c>
      <c r="BJ65" s="1349" t="s">
        <v>4967</v>
      </c>
      <c r="BK65" s="1349" t="s">
        <v>3664</v>
      </c>
      <c r="BP65" s="1349" t="s">
        <v>2300</v>
      </c>
      <c r="BS65" s="1349" t="s">
        <v>2804</v>
      </c>
      <c r="BZ65" s="1349" t="s">
        <v>3892</v>
      </c>
      <c r="CD65" s="1349" t="s">
        <v>3890</v>
      </c>
      <c r="CE65" s="1349" t="s">
        <v>4678</v>
      </c>
      <c r="CF65" s="1349" t="b">
        <v>0</v>
      </c>
    </row>
    <row r="66" spans="2:84">
      <c r="B66" s="1349" t="s">
        <v>3891</v>
      </c>
      <c r="D66" s="1349" t="s">
        <v>3143</v>
      </c>
      <c r="AY66" s="1349" t="s">
        <v>3693</v>
      </c>
      <c r="BC66" s="1349" t="s">
        <v>3693</v>
      </c>
      <c r="BE66" s="1349" t="s">
        <v>4678</v>
      </c>
      <c r="BF66" s="1350" t="s">
        <v>733</v>
      </c>
      <c r="BG66" s="1349" t="s">
        <v>4967</v>
      </c>
      <c r="BH66" s="1350" t="s">
        <v>357</v>
      </c>
      <c r="BP66" s="1349" t="s">
        <v>2300</v>
      </c>
      <c r="BS66" s="1349" t="s">
        <v>1798</v>
      </c>
      <c r="CE66" s="1349" t="s">
        <v>4678</v>
      </c>
      <c r="CF66" s="1349" t="b">
        <v>0</v>
      </c>
    </row>
    <row r="67" spans="2:84">
      <c r="B67" s="1349" t="s">
        <v>1799</v>
      </c>
      <c r="D67" s="1349" t="s">
        <v>3515</v>
      </c>
      <c r="AY67" s="1349" t="s">
        <v>3693</v>
      </c>
      <c r="BC67" s="1349" t="s">
        <v>3693</v>
      </c>
      <c r="BE67" s="1349" t="s">
        <v>4678</v>
      </c>
      <c r="BF67" s="1350" t="s">
        <v>2116</v>
      </c>
      <c r="BG67" s="1349" t="s">
        <v>4967</v>
      </c>
      <c r="BH67" s="1350" t="s">
        <v>4445</v>
      </c>
      <c r="BP67" s="1349" t="s">
        <v>2300</v>
      </c>
      <c r="BS67" s="1349" t="s">
        <v>1800</v>
      </c>
      <c r="CE67" s="1349" t="s">
        <v>4678</v>
      </c>
      <c r="CF67" s="1349" t="b">
        <v>0</v>
      </c>
    </row>
    <row r="68" spans="2:84">
      <c r="B68" s="1349" t="s">
        <v>3514</v>
      </c>
      <c r="D68" s="1349" t="s">
        <v>1801</v>
      </c>
      <c r="AY68" s="1349" t="s">
        <v>3693</v>
      </c>
      <c r="BC68" s="1349" t="s">
        <v>3693</v>
      </c>
      <c r="BE68" s="1349" t="s">
        <v>4678</v>
      </c>
      <c r="BF68" s="1350" t="s">
        <v>1947</v>
      </c>
      <c r="BG68" s="1349" t="s">
        <v>4967</v>
      </c>
      <c r="BH68" s="1350" t="s">
        <v>1948</v>
      </c>
      <c r="BP68" s="1349" t="s">
        <v>2300</v>
      </c>
      <c r="BS68" s="1349" t="s">
        <v>1949</v>
      </c>
      <c r="CE68" s="1349" t="s">
        <v>4678</v>
      </c>
      <c r="CF68" s="1349" t="b">
        <v>0</v>
      </c>
    </row>
    <row r="69" spans="2:84">
      <c r="B69" s="1349" t="s">
        <v>2943</v>
      </c>
      <c r="D69" s="1349" t="s">
        <v>1950</v>
      </c>
      <c r="AY69" s="1349" t="s">
        <v>3693</v>
      </c>
      <c r="BC69" s="1349" t="s">
        <v>3693</v>
      </c>
      <c r="BE69" s="1349" t="s">
        <v>4678</v>
      </c>
      <c r="BF69" s="1350" t="s">
        <v>1951</v>
      </c>
      <c r="BG69" s="1349" t="s">
        <v>4967</v>
      </c>
      <c r="BH69" s="1350" t="s">
        <v>1952</v>
      </c>
      <c r="BP69" s="1349" t="s">
        <v>2300</v>
      </c>
      <c r="BS69" s="1349" t="s">
        <v>1953</v>
      </c>
      <c r="CE69" s="1349" t="s">
        <v>4678</v>
      </c>
      <c r="CF69" s="1349" t="b">
        <v>0</v>
      </c>
    </row>
    <row r="70" spans="2:84">
      <c r="B70" s="1349" t="s">
        <v>1954</v>
      </c>
      <c r="D70" s="1349" t="s">
        <v>1253</v>
      </c>
      <c r="AY70" s="1349" t="s">
        <v>3693</v>
      </c>
      <c r="BC70" s="1349" t="s">
        <v>3693</v>
      </c>
      <c r="BE70" s="1349" t="s">
        <v>4678</v>
      </c>
      <c r="BF70" s="1350" t="s">
        <v>4367</v>
      </c>
      <c r="BG70" s="1349" t="s">
        <v>4967</v>
      </c>
      <c r="BH70" s="1350" t="s">
        <v>734</v>
      </c>
      <c r="BP70" s="1349" t="s">
        <v>2300</v>
      </c>
      <c r="BS70" s="1349" t="s">
        <v>1254</v>
      </c>
      <c r="CE70" s="1349" t="s">
        <v>4678</v>
      </c>
      <c r="CF70" s="1349" t="b">
        <v>0</v>
      </c>
    </row>
    <row r="71" spans="2:84">
      <c r="B71" s="1349" t="s">
        <v>3338</v>
      </c>
      <c r="AY71" s="1349" t="s">
        <v>3693</v>
      </c>
      <c r="BC71" s="1349" t="s">
        <v>3693</v>
      </c>
      <c r="BE71" s="1349" t="s">
        <v>4678</v>
      </c>
      <c r="BF71" s="1350" t="s">
        <v>1342</v>
      </c>
      <c r="BG71" s="1349" t="s">
        <v>4967</v>
      </c>
      <c r="BH71" s="1350" t="s">
        <v>3338</v>
      </c>
      <c r="BP71" s="1349" t="s">
        <v>2300</v>
      </c>
      <c r="BS71" s="1349" t="s">
        <v>3339</v>
      </c>
      <c r="CE71" s="1349" t="s">
        <v>4678</v>
      </c>
      <c r="CF71" s="1349" t="b">
        <v>0</v>
      </c>
    </row>
    <row r="72" spans="2:84">
      <c r="B72" s="1349" t="s">
        <v>3376</v>
      </c>
      <c r="D72" s="1349" t="s">
        <v>2763</v>
      </c>
      <c r="AY72" s="1349" t="s">
        <v>3693</v>
      </c>
      <c r="BC72" s="1349" t="s">
        <v>3693</v>
      </c>
      <c r="BE72" s="1349" t="s">
        <v>4678</v>
      </c>
      <c r="BF72" s="1350" t="s">
        <v>4442</v>
      </c>
      <c r="BG72" s="1349" t="s">
        <v>4967</v>
      </c>
      <c r="BH72" s="1350" t="s">
        <v>4441</v>
      </c>
      <c r="BP72" s="1349" t="s">
        <v>2300</v>
      </c>
      <c r="BS72" s="1349" t="s">
        <v>3377</v>
      </c>
      <c r="CE72" s="1349" t="s">
        <v>4678</v>
      </c>
      <c r="CF72" s="1349" t="b">
        <v>0</v>
      </c>
    </row>
    <row r="73" spans="2:84">
      <c r="B73" s="1349" t="s">
        <v>3378</v>
      </c>
      <c r="D73" s="1349" t="s">
        <v>3379</v>
      </c>
      <c r="F73" s="1349" t="s">
        <v>1489</v>
      </c>
      <c r="AY73" s="1349" t="s">
        <v>3693</v>
      </c>
      <c r="BC73" s="1349" t="s">
        <v>3693</v>
      </c>
      <c r="BE73" s="1349" t="s">
        <v>4678</v>
      </c>
      <c r="BF73" s="1350" t="s">
        <v>1490</v>
      </c>
      <c r="BG73" s="1349" t="s">
        <v>4967</v>
      </c>
      <c r="BH73" s="1350" t="s">
        <v>1277</v>
      </c>
      <c r="BP73" s="1349" t="s">
        <v>2300</v>
      </c>
      <c r="BS73" s="1349" t="s">
        <v>1278</v>
      </c>
      <c r="CE73" s="1349" t="s">
        <v>4678</v>
      </c>
      <c r="CF73" s="1349" t="b">
        <v>0</v>
      </c>
    </row>
    <row r="74" spans="2:84">
      <c r="B74" s="1349" t="s">
        <v>4718</v>
      </c>
      <c r="C74" s="1349" t="s">
        <v>4719</v>
      </c>
      <c r="D74" s="1349" t="s">
        <v>1279</v>
      </c>
      <c r="AY74" s="1349" t="s">
        <v>3693</v>
      </c>
      <c r="BC74" s="1349" t="s">
        <v>3693</v>
      </c>
      <c r="BE74" s="1349" t="s">
        <v>4678</v>
      </c>
      <c r="BF74" s="1350" t="s">
        <v>1280</v>
      </c>
      <c r="BG74" s="1349" t="s">
        <v>4967</v>
      </c>
      <c r="BH74" s="1350" t="s">
        <v>1281</v>
      </c>
      <c r="BP74" s="1349" t="s">
        <v>2300</v>
      </c>
      <c r="BS74" s="1349" t="s">
        <v>1282</v>
      </c>
      <c r="CE74" s="1349" t="s">
        <v>4678</v>
      </c>
      <c r="CF74" s="1349" t="b">
        <v>0</v>
      </c>
    </row>
    <row r="75" spans="2:84">
      <c r="B75" s="1349" t="s">
        <v>3518</v>
      </c>
      <c r="C75" s="1349" t="s">
        <v>3519</v>
      </c>
      <c r="D75" s="1349" t="s">
        <v>4752</v>
      </c>
      <c r="AY75" s="1349" t="s">
        <v>3693</v>
      </c>
      <c r="BC75" s="1349" t="s">
        <v>3693</v>
      </c>
      <c r="BE75" s="1349" t="s">
        <v>4678</v>
      </c>
      <c r="BF75" s="1350" t="s">
        <v>4753</v>
      </c>
      <c r="BG75" s="1349" t="s">
        <v>4967</v>
      </c>
      <c r="BH75" s="1350" t="s">
        <v>605</v>
      </c>
      <c r="BP75" s="1349" t="s">
        <v>2300</v>
      </c>
      <c r="BS75" s="1349" t="s">
        <v>606</v>
      </c>
      <c r="CE75" s="1349" t="s">
        <v>4678</v>
      </c>
      <c r="CF75" s="1349" t="b">
        <v>0</v>
      </c>
    </row>
    <row r="76" spans="2:84">
      <c r="B76" s="1349" t="s">
        <v>1660</v>
      </c>
      <c r="D76" s="1349" t="s">
        <v>3426</v>
      </c>
      <c r="AY76" s="1349" t="s">
        <v>3693</v>
      </c>
      <c r="BC76" s="1349" t="s">
        <v>3693</v>
      </c>
      <c r="BE76" s="1349" t="s">
        <v>4678</v>
      </c>
      <c r="BF76" s="1350" t="s">
        <v>373</v>
      </c>
      <c r="BG76" s="1349" t="s">
        <v>4967</v>
      </c>
      <c r="BH76" s="1350" t="s">
        <v>874</v>
      </c>
      <c r="BP76" s="1349" t="s">
        <v>2300</v>
      </c>
      <c r="BS76" s="1349" t="s">
        <v>2215</v>
      </c>
      <c r="CE76" s="1349" t="s">
        <v>4678</v>
      </c>
      <c r="CF76" s="1349" t="b">
        <v>0</v>
      </c>
    </row>
    <row r="77" spans="2:84">
      <c r="B77" s="1349" t="s">
        <v>1102</v>
      </c>
      <c r="D77" s="1349" t="s">
        <v>2927</v>
      </c>
      <c r="AY77" s="1349" t="s">
        <v>3693</v>
      </c>
      <c r="BC77" s="1349" t="s">
        <v>3693</v>
      </c>
      <c r="BE77" s="1349" t="s">
        <v>4678</v>
      </c>
      <c r="BF77" s="1350" t="s">
        <v>2928</v>
      </c>
      <c r="BG77" s="1349" t="s">
        <v>4967</v>
      </c>
      <c r="BH77" s="1350" t="s">
        <v>2928</v>
      </c>
      <c r="BP77" s="1349" t="s">
        <v>2300</v>
      </c>
      <c r="BS77" s="1349" t="s">
        <v>3558</v>
      </c>
      <c r="CE77" s="1349" t="s">
        <v>4678</v>
      </c>
      <c r="CF77" s="1349" t="b">
        <v>0</v>
      </c>
    </row>
    <row r="78" spans="2:84">
      <c r="B78" s="1349" t="s">
        <v>3559</v>
      </c>
      <c r="D78" s="1349" t="s">
        <v>364</v>
      </c>
      <c r="AY78" s="1349" t="s">
        <v>3693</v>
      </c>
      <c r="BC78" s="1349" t="s">
        <v>3693</v>
      </c>
      <c r="BE78" s="1349" t="s">
        <v>4678</v>
      </c>
      <c r="BF78" s="1350" t="s">
        <v>4387</v>
      </c>
      <c r="BG78" s="1349" t="s">
        <v>4967</v>
      </c>
      <c r="BH78" s="1350" t="s">
        <v>1558</v>
      </c>
      <c r="BP78" s="1349" t="s">
        <v>2300</v>
      </c>
      <c r="BS78" s="1349" t="s">
        <v>3377</v>
      </c>
      <c r="CE78" s="1349" t="s">
        <v>4678</v>
      </c>
      <c r="CF78" s="1349" t="b">
        <v>0</v>
      </c>
    </row>
    <row r="79" spans="2:84">
      <c r="B79" s="1349" t="s">
        <v>1559</v>
      </c>
      <c r="C79" s="1349" t="s">
        <v>1560</v>
      </c>
      <c r="D79" s="1349" t="s">
        <v>3587</v>
      </c>
      <c r="AO79" s="1349" t="s">
        <v>474</v>
      </c>
      <c r="AY79" s="1349" t="s">
        <v>3693</v>
      </c>
      <c r="BC79" s="1349" t="s">
        <v>3693</v>
      </c>
      <c r="BE79" s="1349" t="s">
        <v>4678</v>
      </c>
      <c r="BF79" s="1350" t="s">
        <v>475</v>
      </c>
      <c r="BG79" s="1349" t="s">
        <v>4967</v>
      </c>
      <c r="BH79" s="1350" t="s">
        <v>476</v>
      </c>
      <c r="BP79" s="1349" t="s">
        <v>2300</v>
      </c>
      <c r="BS79" s="1349" t="s">
        <v>477</v>
      </c>
      <c r="CE79" s="1349" t="s">
        <v>4678</v>
      </c>
      <c r="CF79" s="1349" t="b">
        <v>0</v>
      </c>
    </row>
    <row r="80" spans="2:84">
      <c r="B80" s="1349" t="s">
        <v>4047</v>
      </c>
      <c r="C80" s="1349" t="s">
        <v>266</v>
      </c>
      <c r="D80" s="1349" t="s">
        <v>4046</v>
      </c>
      <c r="AY80" s="1349" t="s">
        <v>3693</v>
      </c>
      <c r="BC80" s="1349" t="s">
        <v>3693</v>
      </c>
      <c r="BE80" s="1349" t="s">
        <v>4678</v>
      </c>
      <c r="BF80" s="1350" t="s">
        <v>1969</v>
      </c>
      <c r="BG80" s="1349" t="s">
        <v>4967</v>
      </c>
      <c r="BH80" s="1350" t="s">
        <v>268</v>
      </c>
      <c r="BP80" s="1349" t="s">
        <v>2300</v>
      </c>
      <c r="BS80" s="1349" t="s">
        <v>3308</v>
      </c>
      <c r="CE80" s="1349" t="s">
        <v>4678</v>
      </c>
      <c r="CF80" s="1349" t="b">
        <v>0</v>
      </c>
    </row>
    <row r="81" spans="2:84">
      <c r="B81" s="1349" t="s">
        <v>3501</v>
      </c>
      <c r="D81" s="1349" t="s">
        <v>3502</v>
      </c>
      <c r="F81" s="1349" t="s">
        <v>1</v>
      </c>
      <c r="AY81" s="1349" t="s">
        <v>3693</v>
      </c>
      <c r="BC81" s="1349" t="s">
        <v>3693</v>
      </c>
      <c r="BE81" s="1349" t="s">
        <v>4678</v>
      </c>
      <c r="BF81" s="1350" t="s">
        <v>1072</v>
      </c>
      <c r="BG81" s="1349" t="s">
        <v>4967</v>
      </c>
      <c r="BH81" s="1350" t="s">
        <v>1073</v>
      </c>
      <c r="BP81" s="1349" t="s">
        <v>2300</v>
      </c>
      <c r="BS81" s="1349" t="s">
        <v>1074</v>
      </c>
      <c r="CE81" s="1349" t="s">
        <v>4678</v>
      </c>
      <c r="CF81" s="1349" t="b">
        <v>0</v>
      </c>
    </row>
    <row r="82" spans="2:84">
      <c r="B82" s="1349" t="s">
        <v>2446</v>
      </c>
      <c r="C82" s="1349" t="s">
        <v>3119</v>
      </c>
      <c r="D82" s="1349" t="s">
        <v>3120</v>
      </c>
      <c r="AY82" s="1349" t="s">
        <v>3693</v>
      </c>
      <c r="BC82" s="1349" t="s">
        <v>3693</v>
      </c>
      <c r="BE82" s="1349" t="s">
        <v>4678</v>
      </c>
      <c r="BF82" s="1350" t="s">
        <v>2644</v>
      </c>
      <c r="BG82" s="1349" t="s">
        <v>4967</v>
      </c>
      <c r="BH82" s="1350" t="s">
        <v>3123</v>
      </c>
      <c r="BP82" s="1349" t="s">
        <v>2300</v>
      </c>
      <c r="BS82" s="1349" t="s">
        <v>3124</v>
      </c>
      <c r="CE82" s="1349" t="s">
        <v>4678</v>
      </c>
      <c r="CF82" s="1349" t="b">
        <v>0</v>
      </c>
    </row>
    <row r="83" spans="2:84">
      <c r="B83" s="1349" t="s">
        <v>3410</v>
      </c>
      <c r="D83" s="1349" t="s">
        <v>3548</v>
      </c>
      <c r="AY83" s="1349" t="s">
        <v>3693</v>
      </c>
      <c r="BC83" s="1349" t="s">
        <v>3693</v>
      </c>
      <c r="BE83" s="1349" t="s">
        <v>4678</v>
      </c>
      <c r="BF83" s="1350" t="s">
        <v>4277</v>
      </c>
      <c r="BG83" s="1349" t="s">
        <v>4967</v>
      </c>
      <c r="BH83" s="1350" t="s">
        <v>4278</v>
      </c>
      <c r="BP83" s="1349" t="s">
        <v>2300</v>
      </c>
      <c r="BS83" s="1349" t="s">
        <v>4279</v>
      </c>
      <c r="CE83" s="1349" t="s">
        <v>4678</v>
      </c>
      <c r="CF83" s="1349" t="b">
        <v>0</v>
      </c>
    </row>
    <row r="84" spans="2:84">
      <c r="B84" s="1349" t="s">
        <v>4280</v>
      </c>
      <c r="C84" s="1349" t="s">
        <v>236</v>
      </c>
      <c r="D84" s="1349" t="s">
        <v>237</v>
      </c>
      <c r="AY84" s="1349" t="s">
        <v>3693</v>
      </c>
      <c r="BC84" s="1349" t="s">
        <v>3693</v>
      </c>
      <c r="BE84" s="1349" t="s">
        <v>4678</v>
      </c>
      <c r="BF84" s="1350" t="s">
        <v>5034</v>
      </c>
      <c r="BG84" s="1349" t="s">
        <v>4967</v>
      </c>
      <c r="BH84" s="1350" t="s">
        <v>2157</v>
      </c>
      <c r="BP84" s="1349" t="s">
        <v>2300</v>
      </c>
      <c r="BS84" s="1349" t="s">
        <v>2604</v>
      </c>
      <c r="CE84" s="1349" t="s">
        <v>4678</v>
      </c>
      <c r="CF84" s="1349" t="b">
        <v>0</v>
      </c>
    </row>
    <row r="85" spans="2:84">
      <c r="B85" s="1349" t="s">
        <v>2605</v>
      </c>
      <c r="C85" s="1349" t="s">
        <v>2701</v>
      </c>
      <c r="D85" s="1349" t="s">
        <v>1736</v>
      </c>
      <c r="AY85" s="1349" t="s">
        <v>3693</v>
      </c>
      <c r="BC85" s="1349" t="s">
        <v>3693</v>
      </c>
      <c r="BE85" s="1349" t="s">
        <v>4678</v>
      </c>
      <c r="BF85" s="1350" t="s">
        <v>2702</v>
      </c>
      <c r="BG85" s="1349" t="s">
        <v>4967</v>
      </c>
      <c r="BH85" s="1350" t="s">
        <v>4449</v>
      </c>
      <c r="BP85" s="1349" t="s">
        <v>2300</v>
      </c>
      <c r="BS85" s="1349" t="s">
        <v>4505</v>
      </c>
      <c r="CE85" s="1349" t="s">
        <v>4678</v>
      </c>
      <c r="CF85" s="1349" t="b">
        <v>0</v>
      </c>
    </row>
    <row r="86" spans="2:84">
      <c r="B86" s="1349" t="s">
        <v>4506</v>
      </c>
      <c r="C86" s="1349" t="s">
        <v>4609</v>
      </c>
      <c r="D86" s="1349" t="s">
        <v>3196</v>
      </c>
      <c r="AY86" s="1349" t="s">
        <v>3693</v>
      </c>
      <c r="BC86" s="1349" t="s">
        <v>3693</v>
      </c>
      <c r="BE86" s="1349" t="s">
        <v>4678</v>
      </c>
      <c r="BF86" s="1350" t="s">
        <v>4229</v>
      </c>
      <c r="BG86" s="1349" t="s">
        <v>4967</v>
      </c>
      <c r="BH86" s="1350" t="s">
        <v>3574</v>
      </c>
      <c r="BP86" s="1349" t="s">
        <v>2300</v>
      </c>
      <c r="BS86" s="1349" t="s">
        <v>3575</v>
      </c>
      <c r="CE86" s="1349" t="s">
        <v>4678</v>
      </c>
      <c r="CF86" s="1349" t="b">
        <v>0</v>
      </c>
    </row>
    <row r="87" spans="2:84">
      <c r="B87" s="1349" t="s">
        <v>3576</v>
      </c>
      <c r="C87" s="1349" t="s">
        <v>3577</v>
      </c>
      <c r="D87" s="1349" t="s">
        <v>3578</v>
      </c>
      <c r="F87" s="1349" t="s">
        <v>4374</v>
      </c>
      <c r="H87" s="1349" t="s">
        <v>265</v>
      </c>
      <c r="AF87" s="1349" t="s">
        <v>4141</v>
      </c>
      <c r="AY87" s="1349" t="s">
        <v>3693</v>
      </c>
      <c r="BC87" s="1349" t="s">
        <v>3693</v>
      </c>
      <c r="BE87" s="1349" t="s">
        <v>4678</v>
      </c>
      <c r="BF87" s="1350" t="s">
        <v>743</v>
      </c>
      <c r="BG87" s="1349" t="s">
        <v>4967</v>
      </c>
      <c r="BH87" s="1350" t="s">
        <v>463</v>
      </c>
      <c r="BP87" s="1349" t="s">
        <v>2300</v>
      </c>
      <c r="BS87" s="1349" t="s">
        <v>3151</v>
      </c>
      <c r="CE87" s="1349" t="s">
        <v>4678</v>
      </c>
      <c r="CF87" s="1349" t="b">
        <v>0</v>
      </c>
    </row>
    <row r="88" spans="2:84">
      <c r="B88" s="1349" t="s">
        <v>688</v>
      </c>
      <c r="C88" s="1349" t="s">
        <v>1955</v>
      </c>
      <c r="D88" s="1349" t="s">
        <v>1064</v>
      </c>
      <c r="AY88" s="1349" t="s">
        <v>3693</v>
      </c>
      <c r="BC88" s="1349" t="s">
        <v>3693</v>
      </c>
      <c r="BE88" s="1349" t="s">
        <v>4678</v>
      </c>
      <c r="BF88" s="1350" t="s">
        <v>3955</v>
      </c>
      <c r="BG88" s="1349" t="s">
        <v>4967</v>
      </c>
      <c r="BH88" s="1350" t="s">
        <v>3956</v>
      </c>
      <c r="BP88" s="1349" t="s">
        <v>2300</v>
      </c>
      <c r="BS88" s="1349" t="s">
        <v>3041</v>
      </c>
      <c r="CE88" s="1349" t="s">
        <v>4678</v>
      </c>
      <c r="CF88" s="1349" t="b">
        <v>0</v>
      </c>
    </row>
    <row r="89" spans="2:84">
      <c r="B89" s="1349" t="s">
        <v>3042</v>
      </c>
      <c r="C89" s="1349" t="s">
        <v>3125</v>
      </c>
      <c r="D89" s="1349" t="s">
        <v>107</v>
      </c>
      <c r="AY89" s="1349" t="s">
        <v>3693</v>
      </c>
      <c r="BC89" s="1349" t="s">
        <v>3693</v>
      </c>
      <c r="BE89" s="1349" t="s">
        <v>4678</v>
      </c>
      <c r="BF89" s="1350" t="s">
        <v>108</v>
      </c>
      <c r="BG89" s="1349" t="s">
        <v>4967</v>
      </c>
      <c r="BH89" s="1350" t="s">
        <v>2841</v>
      </c>
      <c r="BP89" s="1349" t="s">
        <v>2300</v>
      </c>
      <c r="BS89" s="1349" t="s">
        <v>2842</v>
      </c>
      <c r="CE89" s="1349" t="s">
        <v>4678</v>
      </c>
      <c r="CF89" s="1349" t="b">
        <v>0</v>
      </c>
    </row>
    <row r="90" spans="2:84">
      <c r="B90" s="1349" t="s">
        <v>3401</v>
      </c>
      <c r="C90" s="1349" t="s">
        <v>1227</v>
      </c>
      <c r="D90" s="1349" t="s">
        <v>107</v>
      </c>
      <c r="AY90" s="1349" t="s">
        <v>3693</v>
      </c>
      <c r="BC90" s="1349" t="s">
        <v>3693</v>
      </c>
      <c r="BE90" s="1349" t="s">
        <v>4678</v>
      </c>
      <c r="BF90" s="1350" t="s">
        <v>2771</v>
      </c>
      <c r="BG90" s="1349" t="s">
        <v>4967</v>
      </c>
      <c r="BH90" s="1350" t="s">
        <v>2772</v>
      </c>
      <c r="BP90" s="1349" t="s">
        <v>2300</v>
      </c>
      <c r="BS90" s="1349" t="s">
        <v>2773</v>
      </c>
      <c r="CE90" s="1349" t="s">
        <v>4678</v>
      </c>
      <c r="CF90" s="1349" t="b">
        <v>0</v>
      </c>
    </row>
    <row r="91" spans="2:84">
      <c r="B91" s="1349" t="s">
        <v>3010</v>
      </c>
      <c r="C91" s="1349" t="s">
        <v>857</v>
      </c>
      <c r="D91" s="1349" t="s">
        <v>3864</v>
      </c>
      <c r="AY91" s="1349" t="s">
        <v>3693</v>
      </c>
      <c r="BC91" s="1349" t="s">
        <v>3693</v>
      </c>
      <c r="BE91" s="1349" t="s">
        <v>4678</v>
      </c>
      <c r="BF91" s="1350" t="s">
        <v>2947</v>
      </c>
      <c r="BG91" s="1349" t="s">
        <v>4967</v>
      </c>
      <c r="BH91" s="1350" t="s">
        <v>3943</v>
      </c>
      <c r="BP91" s="1349" t="s">
        <v>2300</v>
      </c>
      <c r="BS91" s="1349" t="s">
        <v>3944</v>
      </c>
      <c r="CE91" s="1349" t="s">
        <v>4678</v>
      </c>
      <c r="CF91" s="1349" t="b">
        <v>0</v>
      </c>
    </row>
    <row r="92" spans="2:84">
      <c r="B92" s="1349" t="s">
        <v>3945</v>
      </c>
      <c r="D92" s="1349" t="s">
        <v>785</v>
      </c>
      <c r="AY92" s="1349" t="s">
        <v>3693</v>
      </c>
      <c r="BC92" s="1349" t="s">
        <v>3693</v>
      </c>
      <c r="BE92" s="1349" t="s">
        <v>4678</v>
      </c>
      <c r="BF92" s="1350" t="s">
        <v>3161</v>
      </c>
      <c r="BG92" s="1349" t="s">
        <v>4967</v>
      </c>
      <c r="BH92" s="1350" t="s">
        <v>3162</v>
      </c>
      <c r="BP92" s="1349" t="s">
        <v>2300</v>
      </c>
      <c r="BS92" s="1349" t="s">
        <v>3163</v>
      </c>
      <c r="CE92" s="1349" t="s">
        <v>4678</v>
      </c>
      <c r="CF92" s="1349" t="b">
        <v>0</v>
      </c>
    </row>
    <row r="93" spans="2:84">
      <c r="B93" s="1349" t="s">
        <v>4151</v>
      </c>
      <c r="D93" s="1349" t="s">
        <v>176</v>
      </c>
      <c r="AY93" s="1349" t="s">
        <v>3693</v>
      </c>
      <c r="BC93" s="1349" t="s">
        <v>3693</v>
      </c>
      <c r="BE93" s="1349" t="s">
        <v>4678</v>
      </c>
      <c r="BF93" s="1350" t="s">
        <v>1923</v>
      </c>
      <c r="BG93" s="1349" t="s">
        <v>4967</v>
      </c>
      <c r="BH93" s="1350" t="s">
        <v>3086</v>
      </c>
      <c r="BP93" s="1349" t="s">
        <v>2300</v>
      </c>
      <c r="BS93" s="1349" t="s">
        <v>3087</v>
      </c>
      <c r="CE93" s="1349" t="s">
        <v>4678</v>
      </c>
      <c r="CF93" s="1349" t="b">
        <v>0</v>
      </c>
    </row>
    <row r="94" spans="2:84">
      <c r="B94" s="1349" t="s">
        <v>2038</v>
      </c>
      <c r="C94" s="1349" t="s">
        <v>173</v>
      </c>
      <c r="D94" s="1349" t="s">
        <v>2779</v>
      </c>
      <c r="AY94" s="1349" t="s">
        <v>3693</v>
      </c>
      <c r="BC94" s="1349" t="s">
        <v>3693</v>
      </c>
      <c r="BE94" s="1349" t="s">
        <v>4678</v>
      </c>
      <c r="BF94" s="1350" t="s">
        <v>637</v>
      </c>
      <c r="BG94" s="1349" t="s">
        <v>4967</v>
      </c>
      <c r="BH94" s="1350" t="s">
        <v>638</v>
      </c>
      <c r="BP94" s="1349" t="s">
        <v>2300</v>
      </c>
      <c r="BS94" s="1349" t="s">
        <v>639</v>
      </c>
      <c r="CE94" s="1349" t="s">
        <v>4678</v>
      </c>
      <c r="CF94" s="1349" t="b">
        <v>0</v>
      </c>
    </row>
    <row r="95" spans="2:84">
      <c r="B95" s="1349" t="s">
        <v>1570</v>
      </c>
      <c r="D95" s="1349" t="s">
        <v>2927</v>
      </c>
      <c r="AY95" s="1349" t="s">
        <v>3693</v>
      </c>
      <c r="BC95" s="1349" t="s">
        <v>3693</v>
      </c>
      <c r="BE95" s="1349" t="s">
        <v>4678</v>
      </c>
      <c r="BF95" s="1350" t="s">
        <v>133</v>
      </c>
      <c r="BG95" s="1349" t="s">
        <v>4967</v>
      </c>
      <c r="BH95" s="1350" t="s">
        <v>134</v>
      </c>
      <c r="BP95" s="1349" t="s">
        <v>2300</v>
      </c>
      <c r="BS95" s="1349" t="s">
        <v>1932</v>
      </c>
      <c r="CE95" s="1349" t="s">
        <v>4678</v>
      </c>
      <c r="CF95" s="1349" t="b">
        <v>0</v>
      </c>
    </row>
    <row r="96" spans="2:84">
      <c r="B96" s="1349" t="s">
        <v>1094</v>
      </c>
      <c r="D96" s="1349" t="s">
        <v>2334</v>
      </c>
      <c r="AY96" s="1349" t="s">
        <v>3693</v>
      </c>
      <c r="BC96" s="1349" t="s">
        <v>3693</v>
      </c>
      <c r="BE96" s="1349" t="s">
        <v>4678</v>
      </c>
      <c r="BF96" s="1350" t="s">
        <v>779</v>
      </c>
      <c r="BG96" s="1349" t="s">
        <v>4967</v>
      </c>
      <c r="BH96" s="1350" t="s">
        <v>3182</v>
      </c>
      <c r="BP96" s="1349" t="s">
        <v>2300</v>
      </c>
      <c r="BS96" s="1349" t="s">
        <v>3183</v>
      </c>
      <c r="CE96" s="1349" t="s">
        <v>4678</v>
      </c>
      <c r="CF96" s="1349" t="b">
        <v>0</v>
      </c>
    </row>
    <row r="97" spans="2:84">
      <c r="B97" s="1349" t="s">
        <v>3518</v>
      </c>
      <c r="C97" s="1349" t="s">
        <v>4870</v>
      </c>
      <c r="D97" s="1349" t="s">
        <v>4871</v>
      </c>
      <c r="AY97" s="1349" t="s">
        <v>3693</v>
      </c>
      <c r="BC97" s="1349" t="s">
        <v>3693</v>
      </c>
      <c r="BE97" s="1349" t="s">
        <v>4678</v>
      </c>
      <c r="BF97" s="1350" t="s">
        <v>4004</v>
      </c>
      <c r="BG97" s="1349" t="s">
        <v>4967</v>
      </c>
      <c r="BH97" s="1350" t="s">
        <v>1114</v>
      </c>
      <c r="BP97" s="1349" t="s">
        <v>2300</v>
      </c>
      <c r="BS97" s="1349" t="s">
        <v>606</v>
      </c>
      <c r="CE97" s="1349" t="s">
        <v>4678</v>
      </c>
      <c r="CF97" s="1349" t="b">
        <v>0</v>
      </c>
    </row>
    <row r="98" spans="2:84">
      <c r="B98" s="1349" t="s">
        <v>2943</v>
      </c>
      <c r="C98" s="1349" t="s">
        <v>2774</v>
      </c>
      <c r="D98" s="1349" t="s">
        <v>547</v>
      </c>
      <c r="AY98" s="1349" t="s">
        <v>3693</v>
      </c>
      <c r="BC98" s="1349" t="s">
        <v>3693</v>
      </c>
      <c r="BE98" s="1349" t="s">
        <v>4678</v>
      </c>
      <c r="BF98" s="1350" t="s">
        <v>2775</v>
      </c>
      <c r="BG98" s="1349" t="s">
        <v>4967</v>
      </c>
      <c r="BH98" s="1350" t="s">
        <v>2177</v>
      </c>
      <c r="BP98" s="1349" t="s">
        <v>2300</v>
      </c>
      <c r="BS98" s="1349" t="s">
        <v>2178</v>
      </c>
      <c r="CE98" s="1349" t="s">
        <v>4678</v>
      </c>
      <c r="CF98" s="1349" t="b">
        <v>0</v>
      </c>
    </row>
    <row r="99" spans="2:84">
      <c r="B99" s="1349" t="s">
        <v>1660</v>
      </c>
      <c r="C99" s="1349" t="s">
        <v>2179</v>
      </c>
      <c r="D99" s="1349" t="s">
        <v>2779</v>
      </c>
      <c r="AY99" s="1349" t="s">
        <v>3693</v>
      </c>
      <c r="BC99" s="1349" t="s">
        <v>3693</v>
      </c>
      <c r="BE99" s="1349" t="s">
        <v>4678</v>
      </c>
      <c r="BF99" s="1350" t="s">
        <v>995</v>
      </c>
      <c r="BG99" s="1349" t="s">
        <v>4967</v>
      </c>
      <c r="BH99" s="1350" t="s">
        <v>3666</v>
      </c>
      <c r="BP99" s="1349" t="s">
        <v>2300</v>
      </c>
      <c r="BS99" s="1349" t="s">
        <v>3667</v>
      </c>
      <c r="CE99" s="1349" t="s">
        <v>4678</v>
      </c>
      <c r="CF99" s="1349" t="b">
        <v>0</v>
      </c>
    </row>
    <row r="100" spans="2:84">
      <c r="B100" s="1349" t="s">
        <v>3668</v>
      </c>
      <c r="D100" s="1349" t="s">
        <v>3669</v>
      </c>
      <c r="AY100" s="1349" t="s">
        <v>3693</v>
      </c>
      <c r="BC100" s="1349" t="s">
        <v>3693</v>
      </c>
      <c r="BE100" s="1349" t="s">
        <v>4678</v>
      </c>
      <c r="BF100" s="1350" t="s">
        <v>4343</v>
      </c>
      <c r="BG100" s="1349" t="s">
        <v>4967</v>
      </c>
      <c r="BH100" s="1350" t="s">
        <v>4344</v>
      </c>
      <c r="BP100" s="1349" t="s">
        <v>2300</v>
      </c>
      <c r="BS100" s="1349" t="s">
        <v>4345</v>
      </c>
      <c r="CE100" s="1349" t="s">
        <v>4678</v>
      </c>
      <c r="CF100" s="1349" t="b">
        <v>0</v>
      </c>
    </row>
    <row r="101" spans="2:84">
      <c r="B101" s="1349" t="s">
        <v>4346</v>
      </c>
      <c r="D101" s="1349" t="s">
        <v>4347</v>
      </c>
      <c r="AY101" s="1349" t="s">
        <v>3693</v>
      </c>
      <c r="BC101" s="1349" t="s">
        <v>3693</v>
      </c>
      <c r="BE101" s="1349" t="s">
        <v>4678</v>
      </c>
      <c r="BF101" s="1350" t="s">
        <v>3438</v>
      </c>
      <c r="BG101" s="1349" t="s">
        <v>4967</v>
      </c>
      <c r="BH101" s="1350" t="s">
        <v>402</v>
      </c>
      <c r="BP101" s="1349" t="s">
        <v>2300</v>
      </c>
      <c r="BS101" s="1349" t="s">
        <v>403</v>
      </c>
      <c r="CE101" s="1349" t="s">
        <v>4678</v>
      </c>
      <c r="CF101" s="1349" t="b">
        <v>0</v>
      </c>
    </row>
    <row r="102" spans="2:84">
      <c r="B102" s="1349" t="s">
        <v>404</v>
      </c>
      <c r="D102" s="1349" t="s">
        <v>405</v>
      </c>
      <c r="AY102" s="1349" t="s">
        <v>3693</v>
      </c>
      <c r="BC102" s="1349" t="s">
        <v>3693</v>
      </c>
      <c r="BE102" s="1349" t="s">
        <v>4678</v>
      </c>
      <c r="BF102" s="1350" t="s">
        <v>406</v>
      </c>
      <c r="BG102" s="1349" t="s">
        <v>4967</v>
      </c>
      <c r="BH102" s="1350" t="s">
        <v>407</v>
      </c>
      <c r="BP102" s="1349" t="s">
        <v>2300</v>
      </c>
      <c r="BS102" s="1349" t="s">
        <v>408</v>
      </c>
      <c r="CE102" s="1349" t="s">
        <v>4678</v>
      </c>
      <c r="CF102" s="1349" t="b">
        <v>0</v>
      </c>
    </row>
    <row r="103" spans="2:84">
      <c r="B103" s="1349" t="s">
        <v>4221</v>
      </c>
      <c r="AY103" s="1349" t="s">
        <v>3693</v>
      </c>
      <c r="BC103" s="1349" t="s">
        <v>3693</v>
      </c>
      <c r="BE103" s="1349" t="s">
        <v>4678</v>
      </c>
      <c r="BF103" s="1350" t="s">
        <v>4221</v>
      </c>
      <c r="BG103" s="1349" t="s">
        <v>4967</v>
      </c>
      <c r="BH103" s="1350" t="s">
        <v>4222</v>
      </c>
      <c r="BP103" s="1349" t="s">
        <v>2300</v>
      </c>
      <c r="BZ103" s="1349" t="s">
        <v>4223</v>
      </c>
      <c r="CE103" s="1349" t="s">
        <v>4678</v>
      </c>
      <c r="CF103" s="1349" t="b">
        <v>0</v>
      </c>
    </row>
    <row r="104" spans="2:84">
      <c r="B104" s="1349" t="s">
        <v>1923</v>
      </c>
      <c r="AY104" s="1349" t="s">
        <v>3693</v>
      </c>
      <c r="BC104" s="1349" t="s">
        <v>3693</v>
      </c>
      <c r="BE104" s="1349" t="s">
        <v>4678</v>
      </c>
      <c r="BF104" s="1350" t="s">
        <v>1923</v>
      </c>
      <c r="BG104" s="1349" t="s">
        <v>4967</v>
      </c>
      <c r="BH104" s="1350" t="s">
        <v>4732</v>
      </c>
      <c r="BP104" s="1349" t="s">
        <v>2300</v>
      </c>
      <c r="BZ104" s="1349" t="s">
        <v>4223</v>
      </c>
      <c r="CE104" s="1349" t="s">
        <v>4678</v>
      </c>
      <c r="CF104" s="1349" t="b">
        <v>0</v>
      </c>
    </row>
    <row r="105" spans="2:84">
      <c r="B105" s="1349" t="s">
        <v>1255</v>
      </c>
      <c r="AY105" s="1349" t="s">
        <v>3693</v>
      </c>
      <c r="BC105" s="1349" t="s">
        <v>3693</v>
      </c>
      <c r="BE105" s="1349" t="s">
        <v>4678</v>
      </c>
      <c r="BF105" s="1350" t="s">
        <v>1255</v>
      </c>
      <c r="BG105" s="1349" t="s">
        <v>4967</v>
      </c>
      <c r="BH105" s="1350" t="s">
        <v>1911</v>
      </c>
      <c r="BP105" s="1349" t="s">
        <v>2300</v>
      </c>
      <c r="BZ105" s="1349" t="s">
        <v>4223</v>
      </c>
      <c r="CE105" s="1349" t="s">
        <v>4678</v>
      </c>
      <c r="CF105" s="1349" t="b">
        <v>0</v>
      </c>
    </row>
    <row r="106" spans="2:84">
      <c r="B106" s="1349" t="s">
        <v>4115</v>
      </c>
      <c r="D106" s="1349" t="s">
        <v>3150</v>
      </c>
      <c r="AY106" s="1349" t="s">
        <v>3693</v>
      </c>
      <c r="BC106" s="1349" t="s">
        <v>3693</v>
      </c>
      <c r="BE106" s="1349" t="s">
        <v>4678</v>
      </c>
      <c r="BF106" s="1350" t="s">
        <v>4108</v>
      </c>
      <c r="BG106" s="1349" t="s">
        <v>4967</v>
      </c>
      <c r="BH106" s="1350" t="s">
        <v>1636</v>
      </c>
      <c r="BP106" s="1349" t="s">
        <v>2300</v>
      </c>
      <c r="BS106" s="1349" t="s">
        <v>2925</v>
      </c>
      <c r="BZ106" s="1349" t="s">
        <v>4223</v>
      </c>
      <c r="CE106" s="1349" t="s">
        <v>4678</v>
      </c>
      <c r="CF106" s="1349" t="b">
        <v>0</v>
      </c>
    </row>
    <row r="107" spans="2:84">
      <c r="B107" s="1349" t="s">
        <v>890</v>
      </c>
      <c r="AY107" s="1349" t="s">
        <v>3693</v>
      </c>
      <c r="BC107" s="1349" t="s">
        <v>3693</v>
      </c>
      <c r="BE107" s="1349" t="s">
        <v>4678</v>
      </c>
      <c r="BF107" s="1350" t="s">
        <v>4123</v>
      </c>
      <c r="BG107" s="1349" t="s">
        <v>4967</v>
      </c>
      <c r="BH107" s="1350" t="s">
        <v>890</v>
      </c>
      <c r="BP107" s="1349" t="s">
        <v>2300</v>
      </c>
      <c r="BS107" s="1349" t="s">
        <v>1760</v>
      </c>
      <c r="BZ107" s="1349" t="s">
        <v>4223</v>
      </c>
      <c r="CE107" s="1349" t="s">
        <v>4678</v>
      </c>
      <c r="CF107" s="1349" t="b">
        <v>0</v>
      </c>
    </row>
    <row r="108" spans="2:84">
      <c r="B108" s="1349" t="s">
        <v>4778</v>
      </c>
      <c r="AY108" s="1349" t="s">
        <v>3693</v>
      </c>
      <c r="BC108" s="1349" t="s">
        <v>3693</v>
      </c>
      <c r="BE108" s="1349" t="s">
        <v>4678</v>
      </c>
      <c r="BF108" s="1350" t="s">
        <v>4778</v>
      </c>
      <c r="BG108" s="1349" t="s">
        <v>4967</v>
      </c>
      <c r="BH108" s="1350" t="s">
        <v>4779</v>
      </c>
      <c r="BP108" s="1349" t="s">
        <v>2300</v>
      </c>
      <c r="BZ108" s="1349" t="s">
        <v>4223</v>
      </c>
      <c r="CE108" s="1349" t="s">
        <v>4678</v>
      </c>
      <c r="CF108" s="1349" t="b">
        <v>0</v>
      </c>
    </row>
    <row r="109" spans="2:84">
      <c r="B109" s="1349" t="s">
        <v>382</v>
      </c>
      <c r="D109" s="1349" t="s">
        <v>549</v>
      </c>
      <c r="AY109" s="1349" t="s">
        <v>3693</v>
      </c>
      <c r="BC109" s="1349" t="s">
        <v>3693</v>
      </c>
      <c r="BE109" s="1349" t="s">
        <v>4678</v>
      </c>
      <c r="BF109" s="1350" t="s">
        <v>2575</v>
      </c>
      <c r="BG109" s="1349" t="s">
        <v>4967</v>
      </c>
      <c r="BH109" s="1350" t="s">
        <v>2576</v>
      </c>
      <c r="BP109" s="1349" t="s">
        <v>2300</v>
      </c>
      <c r="BS109" s="1349" t="s">
        <v>2577</v>
      </c>
      <c r="BZ109" s="1349" t="s">
        <v>4223</v>
      </c>
      <c r="CE109" s="1349" t="s">
        <v>4678</v>
      </c>
      <c r="CF109" s="1349" t="b">
        <v>0</v>
      </c>
    </row>
    <row r="110" spans="2:84">
      <c r="B110" s="1349" t="s">
        <v>4115</v>
      </c>
      <c r="C110" s="1349" t="s">
        <v>3089</v>
      </c>
      <c r="D110" s="1349" t="s">
        <v>2578</v>
      </c>
      <c r="AF110" s="1349" t="s">
        <v>2579</v>
      </c>
      <c r="AL110" s="1349" t="s">
        <v>4668</v>
      </c>
      <c r="AO110" s="1349" t="s">
        <v>2513</v>
      </c>
      <c r="AY110" s="1349" t="s">
        <v>3693</v>
      </c>
      <c r="BC110" s="1349" t="s">
        <v>3693</v>
      </c>
      <c r="BE110" s="1349" t="s">
        <v>4678</v>
      </c>
      <c r="BF110" s="1350" t="s">
        <v>334</v>
      </c>
      <c r="BG110" s="1349" t="s">
        <v>4967</v>
      </c>
      <c r="BH110" s="1350" t="s">
        <v>4793</v>
      </c>
      <c r="BP110" s="1349" t="s">
        <v>2300</v>
      </c>
      <c r="BS110" s="1349" t="s">
        <v>4794</v>
      </c>
      <c r="BZ110" s="1349" t="s">
        <v>4223</v>
      </c>
      <c r="CE110" s="1349" t="s">
        <v>4678</v>
      </c>
      <c r="CF110" s="1349" t="b">
        <v>0</v>
      </c>
    </row>
    <row r="111" spans="2:84">
      <c r="B111" s="1349" t="s">
        <v>4990</v>
      </c>
      <c r="C111" s="1349" t="s">
        <v>4247</v>
      </c>
      <c r="D111" s="1349" t="s">
        <v>4248</v>
      </c>
      <c r="F111" s="1349" t="s">
        <v>3043</v>
      </c>
      <c r="H111" s="1349" t="s">
        <v>4259</v>
      </c>
      <c r="I111" s="1349" t="s">
        <v>2951</v>
      </c>
      <c r="L111" s="1349" t="s">
        <v>3691</v>
      </c>
      <c r="O111" s="1349" t="s">
        <v>3692</v>
      </c>
      <c r="AF111" s="1349" t="s">
        <v>2952</v>
      </c>
      <c r="AO111" s="1349" t="s">
        <v>2953</v>
      </c>
      <c r="AY111" s="1349" t="s">
        <v>3693</v>
      </c>
      <c r="BC111" s="1349" t="s">
        <v>3693</v>
      </c>
      <c r="BE111" s="1349" t="s">
        <v>4678</v>
      </c>
      <c r="BF111" s="1350" t="s">
        <v>1870</v>
      </c>
      <c r="BG111" s="1349" t="s">
        <v>4967</v>
      </c>
      <c r="BH111" s="1350" t="s">
        <v>4285</v>
      </c>
      <c r="BP111" s="1349" t="s">
        <v>2300</v>
      </c>
      <c r="BS111" s="1349" t="s">
        <v>2690</v>
      </c>
      <c r="BZ111" s="1349" t="s">
        <v>4223</v>
      </c>
      <c r="CE111" s="1349" t="s">
        <v>4678</v>
      </c>
      <c r="CF111" s="1349" t="b">
        <v>0</v>
      </c>
    </row>
    <row r="112" spans="2:84">
      <c r="B112" s="1349" t="s">
        <v>3438</v>
      </c>
      <c r="AY112" s="1349" t="s">
        <v>3693</v>
      </c>
      <c r="BC112" s="1349" t="s">
        <v>3693</v>
      </c>
      <c r="BE112" s="1349" t="s">
        <v>4678</v>
      </c>
      <c r="BF112" s="1350" t="s">
        <v>3438</v>
      </c>
      <c r="BG112" s="1349" t="s">
        <v>4967</v>
      </c>
      <c r="BH112" s="1350" t="s">
        <v>402</v>
      </c>
      <c r="BP112" s="1349" t="s">
        <v>2300</v>
      </c>
      <c r="BZ112" s="1349" t="s">
        <v>4223</v>
      </c>
      <c r="CE112" s="1349" t="s">
        <v>4678</v>
      </c>
      <c r="CF112" s="1349" t="b">
        <v>0</v>
      </c>
    </row>
    <row r="113" spans="2:84">
      <c r="D113" s="1349" t="s">
        <v>2691</v>
      </c>
      <c r="AY113" s="1349" t="s">
        <v>3693</v>
      </c>
      <c r="BC113" s="1349" t="s">
        <v>3693</v>
      </c>
      <c r="BE113" s="1349" t="s">
        <v>4678</v>
      </c>
      <c r="BF113" s="1350" t="s">
        <v>637</v>
      </c>
      <c r="BG113" s="1349" t="s">
        <v>4967</v>
      </c>
      <c r="BH113" s="1350" t="s">
        <v>638</v>
      </c>
      <c r="BP113" s="1349" t="s">
        <v>2300</v>
      </c>
      <c r="BS113" s="1349" t="s">
        <v>2692</v>
      </c>
      <c r="BZ113" s="1349" t="s">
        <v>4223</v>
      </c>
      <c r="CE113" s="1349" t="s">
        <v>4678</v>
      </c>
      <c r="CF113" s="1349" t="b">
        <v>0</v>
      </c>
    </row>
    <row r="114" spans="2:84">
      <c r="D114" s="1349" t="s">
        <v>2693</v>
      </c>
      <c r="AY114" s="1349" t="s">
        <v>3693</v>
      </c>
      <c r="BC114" s="1349" t="s">
        <v>3693</v>
      </c>
      <c r="BE114" s="1349" t="s">
        <v>4678</v>
      </c>
      <c r="BF114" s="1350" t="s">
        <v>4387</v>
      </c>
      <c r="BG114" s="1349" t="s">
        <v>4967</v>
      </c>
      <c r="BH114" s="1350" t="s">
        <v>1558</v>
      </c>
      <c r="BP114" s="1349" t="s">
        <v>2300</v>
      </c>
      <c r="BS114" s="1349" t="s">
        <v>2694</v>
      </c>
      <c r="BZ114" s="1349" t="s">
        <v>4223</v>
      </c>
      <c r="CE114" s="1349" t="s">
        <v>4678</v>
      </c>
      <c r="CF114" s="1349" t="b">
        <v>0</v>
      </c>
    </row>
    <row r="115" spans="2:84">
      <c r="D115" s="1349" t="s">
        <v>1660</v>
      </c>
      <c r="AY115" s="1349" t="s">
        <v>3693</v>
      </c>
      <c r="BC115" s="1349" t="s">
        <v>3693</v>
      </c>
      <c r="BE115" s="1349" t="s">
        <v>4678</v>
      </c>
      <c r="BF115" s="1350" t="s">
        <v>207</v>
      </c>
      <c r="BG115" s="1349" t="s">
        <v>4967</v>
      </c>
      <c r="BH115" s="1350" t="s">
        <v>3497</v>
      </c>
      <c r="BP115" s="1349" t="s">
        <v>2300</v>
      </c>
      <c r="BS115" s="1349" t="s">
        <v>4589</v>
      </c>
      <c r="BZ115" s="1349" t="s">
        <v>4223</v>
      </c>
      <c r="CE115" s="1349" t="s">
        <v>4678</v>
      </c>
      <c r="CF115" s="1349" t="b">
        <v>0</v>
      </c>
    </row>
    <row r="116" spans="2:84">
      <c r="B116" s="1349" t="s">
        <v>3654</v>
      </c>
      <c r="D116" s="1349" t="s">
        <v>3498</v>
      </c>
      <c r="AY116" s="1349" t="s">
        <v>3693</v>
      </c>
      <c r="BC116" s="1349" t="s">
        <v>3693</v>
      </c>
      <c r="BE116" s="1349" t="s">
        <v>4678</v>
      </c>
      <c r="BF116" s="1350" t="s">
        <v>4778</v>
      </c>
      <c r="BG116" s="1349" t="s">
        <v>4967</v>
      </c>
      <c r="BH116" s="1350" t="s">
        <v>3499</v>
      </c>
      <c r="BP116" s="1349" t="s">
        <v>2300</v>
      </c>
      <c r="BS116" s="1349" t="s">
        <v>2337</v>
      </c>
      <c r="CE116" s="1349" t="s">
        <v>4678</v>
      </c>
      <c r="CF116" s="1349" t="b">
        <v>0</v>
      </c>
    </row>
    <row r="117" spans="2:84">
      <c r="B117" s="1349" t="s">
        <v>3015</v>
      </c>
      <c r="C117" s="1349" t="s">
        <v>3016</v>
      </c>
      <c r="D117" s="1349" t="s">
        <v>3017</v>
      </c>
      <c r="AY117" s="1349" t="s">
        <v>3693</v>
      </c>
      <c r="BC117" s="1349" t="s">
        <v>3693</v>
      </c>
      <c r="BE117" s="1349" t="s">
        <v>4678</v>
      </c>
      <c r="BF117" s="1350" t="s">
        <v>75</v>
      </c>
      <c r="BG117" s="1349" t="s">
        <v>4967</v>
      </c>
      <c r="BH117" s="1350" t="s">
        <v>76</v>
      </c>
      <c r="BP117" s="1349" t="s">
        <v>2300</v>
      </c>
      <c r="BS117" s="1349" t="s">
        <v>77</v>
      </c>
      <c r="BZ117" s="1349" t="s">
        <v>4546</v>
      </c>
      <c r="CE117" s="1349" t="s">
        <v>4678</v>
      </c>
      <c r="CF117" s="1349" t="b">
        <v>0</v>
      </c>
    </row>
    <row r="118" spans="2:84">
      <c r="B118" s="1349" t="s">
        <v>2173</v>
      </c>
      <c r="D118" s="1349" t="s">
        <v>2174</v>
      </c>
      <c r="AY118" s="1349" t="s">
        <v>3693</v>
      </c>
      <c r="BC118" s="1349" t="s">
        <v>3693</v>
      </c>
      <c r="BE118" s="1349" t="s">
        <v>4678</v>
      </c>
      <c r="BF118" s="1350" t="s">
        <v>1910</v>
      </c>
      <c r="BG118" s="1349" t="s">
        <v>4967</v>
      </c>
      <c r="BH118" s="1350" t="s">
        <v>441</v>
      </c>
      <c r="BP118" s="1349" t="s">
        <v>2300</v>
      </c>
      <c r="BS118" s="1349" t="s">
        <v>442</v>
      </c>
      <c r="BZ118" s="1349" t="s">
        <v>4546</v>
      </c>
      <c r="CE118" s="1349" t="s">
        <v>4678</v>
      </c>
      <c r="CF118" s="1349" t="b">
        <v>0</v>
      </c>
    </row>
    <row r="119" spans="2:84">
      <c r="B119" s="1349" t="s">
        <v>278</v>
      </c>
      <c r="AY119" s="1349" t="s">
        <v>3693</v>
      </c>
      <c r="BC119" s="1349" t="s">
        <v>3693</v>
      </c>
      <c r="BE119" s="1349" t="s">
        <v>4678</v>
      </c>
      <c r="BF119" s="1350" t="s">
        <v>278</v>
      </c>
      <c r="BG119" s="1349" t="s">
        <v>4967</v>
      </c>
      <c r="BH119" s="1350" t="s">
        <v>3550</v>
      </c>
      <c r="BP119" s="1349" t="s">
        <v>2300</v>
      </c>
      <c r="BZ119" s="1349" t="s">
        <v>4223</v>
      </c>
      <c r="CE119" s="1349" t="s">
        <v>4678</v>
      </c>
      <c r="CF119" s="1349" t="b">
        <v>0</v>
      </c>
    </row>
    <row r="120" spans="2:84">
      <c r="B120" s="1349" t="s">
        <v>481</v>
      </c>
      <c r="D120" s="1349" t="s">
        <v>482</v>
      </c>
      <c r="AY120" s="1349" t="s">
        <v>3693</v>
      </c>
      <c r="BC120" s="1349" t="s">
        <v>3693</v>
      </c>
      <c r="BE120" s="1349" t="s">
        <v>4678</v>
      </c>
      <c r="BF120" s="1350" t="s">
        <v>1491</v>
      </c>
      <c r="BG120" s="1349" t="s">
        <v>4967</v>
      </c>
      <c r="BH120" s="1350" t="s">
        <v>1794</v>
      </c>
      <c r="BP120" s="1349" t="s">
        <v>2300</v>
      </c>
      <c r="BS120" s="1349" t="s">
        <v>889</v>
      </c>
      <c r="BZ120" s="1349" t="s">
        <v>4546</v>
      </c>
      <c r="CE120" s="1349" t="s">
        <v>4678</v>
      </c>
      <c r="CF120" s="1349" t="b">
        <v>0</v>
      </c>
    </row>
    <row r="121" spans="2:84">
      <c r="B121" s="1349" t="s">
        <v>3549</v>
      </c>
      <c r="D121" s="1349" t="s">
        <v>2382</v>
      </c>
      <c r="E121" s="1349" t="s">
        <v>2383</v>
      </c>
      <c r="AY121" s="1349" t="s">
        <v>3693</v>
      </c>
      <c r="BC121" s="1349" t="s">
        <v>3693</v>
      </c>
      <c r="BE121" s="1349" t="s">
        <v>4678</v>
      </c>
      <c r="BF121" s="1350" t="s">
        <v>1922</v>
      </c>
      <c r="BG121" s="1349" t="s">
        <v>4967</v>
      </c>
      <c r="BH121" s="1350" t="s">
        <v>217</v>
      </c>
      <c r="BP121" s="1349" t="s">
        <v>2300</v>
      </c>
      <c r="BS121" s="1349" t="s">
        <v>2386</v>
      </c>
      <c r="BZ121" s="1349" t="s">
        <v>4546</v>
      </c>
      <c r="CE121" s="1349" t="s">
        <v>4678</v>
      </c>
      <c r="CF121" s="1349" t="b">
        <v>0</v>
      </c>
    </row>
    <row r="122" spans="2:84">
      <c r="B122" s="1349" t="s">
        <v>3654</v>
      </c>
      <c r="D122" s="1349" t="s">
        <v>3498</v>
      </c>
      <c r="AY122" s="1349" t="s">
        <v>3693</v>
      </c>
      <c r="BC122" s="1349" t="s">
        <v>3693</v>
      </c>
      <c r="BE122" s="1349" t="s">
        <v>4678</v>
      </c>
      <c r="BF122" s="1350" t="s">
        <v>278</v>
      </c>
      <c r="BG122" s="1349" t="s">
        <v>4967</v>
      </c>
      <c r="BH122" s="1350" t="s">
        <v>3499</v>
      </c>
      <c r="BP122" s="1349" t="s">
        <v>2300</v>
      </c>
      <c r="BS122" s="1349" t="s">
        <v>2337</v>
      </c>
      <c r="BZ122" s="1349" t="s">
        <v>4546</v>
      </c>
      <c r="CE122" s="1349" t="s">
        <v>4678</v>
      </c>
      <c r="CF122" s="1349" t="b">
        <v>0</v>
      </c>
    </row>
    <row r="123" spans="2:84">
      <c r="B123" s="1349" t="s">
        <v>547</v>
      </c>
      <c r="C123" s="1349" t="s">
        <v>2387</v>
      </c>
      <c r="D123" s="1349" t="s">
        <v>2388</v>
      </c>
      <c r="F123" s="1349" t="s">
        <v>4478</v>
      </c>
      <c r="I123" s="1349" t="s">
        <v>1093</v>
      </c>
      <c r="L123" s="1349" t="s">
        <v>1488</v>
      </c>
      <c r="O123" s="1349" t="s">
        <v>3692</v>
      </c>
      <c r="AY123" s="1349" t="s">
        <v>3693</v>
      </c>
      <c r="BC123" s="1349" t="s">
        <v>3693</v>
      </c>
      <c r="BE123" s="1349" t="s">
        <v>4678</v>
      </c>
      <c r="BF123" s="1350" t="s">
        <v>2456</v>
      </c>
      <c r="BG123" s="1349" t="s">
        <v>4967</v>
      </c>
      <c r="BH123" s="1350" t="s">
        <v>3286</v>
      </c>
      <c r="BP123" s="1349" t="s">
        <v>2300</v>
      </c>
      <c r="BS123" s="1349" t="s">
        <v>3287</v>
      </c>
      <c r="BZ123" s="1349" t="s">
        <v>4546</v>
      </c>
      <c r="CE123" s="1349" t="s">
        <v>4678</v>
      </c>
      <c r="CF123" s="1349" t="b">
        <v>0</v>
      </c>
    </row>
    <row r="124" spans="2:84">
      <c r="B124" s="1349" t="s">
        <v>4649</v>
      </c>
      <c r="C124" s="1349" t="s">
        <v>3889</v>
      </c>
      <c r="D124" s="1349" t="s">
        <v>1424</v>
      </c>
      <c r="F124" s="1349" t="s">
        <v>4374</v>
      </c>
      <c r="AF124" s="1349" t="s">
        <v>634</v>
      </c>
      <c r="AY124" s="1349" t="s">
        <v>3693</v>
      </c>
      <c r="BC124" s="1349" t="s">
        <v>3693</v>
      </c>
      <c r="BE124" s="1349" t="s">
        <v>4678</v>
      </c>
      <c r="BF124" s="1350" t="s">
        <v>3562</v>
      </c>
      <c r="BG124" s="1349" t="s">
        <v>4967</v>
      </c>
      <c r="BH124" s="1350" t="s">
        <v>4859</v>
      </c>
      <c r="BP124" s="1349" t="s">
        <v>2300</v>
      </c>
      <c r="BS124" s="1349" t="s">
        <v>3831</v>
      </c>
      <c r="BZ124" s="1349" t="s">
        <v>4546</v>
      </c>
      <c r="CE124" s="1349" t="s">
        <v>4678</v>
      </c>
      <c r="CF124" s="1349" t="b">
        <v>0</v>
      </c>
    </row>
    <row r="125" spans="2:84">
      <c r="B125" s="1349" t="s">
        <v>4874</v>
      </c>
      <c r="AY125" s="1349" t="s">
        <v>3693</v>
      </c>
      <c r="BC125" s="1349" t="s">
        <v>3693</v>
      </c>
      <c r="BE125" s="1349" t="s">
        <v>4678</v>
      </c>
      <c r="BF125" s="1350" t="s">
        <v>4637</v>
      </c>
      <c r="BG125" s="1349" t="s">
        <v>4967</v>
      </c>
      <c r="BH125" s="1350" t="s">
        <v>4637</v>
      </c>
      <c r="BP125" s="1349" t="s">
        <v>2300</v>
      </c>
      <c r="BS125" s="1349" t="s">
        <v>2692</v>
      </c>
      <c r="BZ125" s="1349" t="s">
        <v>4546</v>
      </c>
      <c r="CE125" s="1349" t="s">
        <v>4678</v>
      </c>
      <c r="CF125" s="1349" t="b">
        <v>0</v>
      </c>
    </row>
    <row r="126" spans="2:84">
      <c r="B126" s="1349" t="s">
        <v>3631</v>
      </c>
      <c r="C126" s="1349" t="s">
        <v>3632</v>
      </c>
      <c r="D126" s="1349" t="s">
        <v>3633</v>
      </c>
      <c r="F126" s="1349" t="s">
        <v>398</v>
      </c>
      <c r="H126" s="1349" t="s">
        <v>4314</v>
      </c>
      <c r="L126" s="1349" t="s">
        <v>218</v>
      </c>
      <c r="O126" s="1349" t="s">
        <v>3692</v>
      </c>
      <c r="AE126" s="1349" t="s">
        <v>2238</v>
      </c>
      <c r="AF126" s="1349" t="s">
        <v>2239</v>
      </c>
      <c r="AO126" s="1349" t="s">
        <v>2240</v>
      </c>
      <c r="AY126" s="1349" t="s">
        <v>3693</v>
      </c>
      <c r="BC126" s="1349" t="s">
        <v>3693</v>
      </c>
      <c r="BE126" s="1349" t="s">
        <v>4678</v>
      </c>
      <c r="BF126" s="1350" t="s">
        <v>1240</v>
      </c>
      <c r="BG126" s="1349" t="s">
        <v>4967</v>
      </c>
      <c r="BH126" s="1350" t="s">
        <v>3179</v>
      </c>
      <c r="BI126" s="1349" t="s">
        <v>168</v>
      </c>
      <c r="BJ126" s="1349" t="s">
        <v>4967</v>
      </c>
      <c r="BK126" s="1349" t="s">
        <v>169</v>
      </c>
      <c r="BP126" s="1349" t="s">
        <v>2300</v>
      </c>
      <c r="BS126" s="1349" t="s">
        <v>1709</v>
      </c>
      <c r="BZ126" s="1349" t="s">
        <v>4546</v>
      </c>
      <c r="CD126" s="1349" t="s">
        <v>1710</v>
      </c>
      <c r="CE126" s="1349" t="s">
        <v>4678</v>
      </c>
      <c r="CF126" s="1349" t="b">
        <v>0</v>
      </c>
    </row>
    <row r="127" spans="2:84">
      <c r="B127" s="1349" t="s">
        <v>481</v>
      </c>
      <c r="C127" s="1349" t="s">
        <v>4117</v>
      </c>
      <c r="D127" s="1349" t="s">
        <v>1711</v>
      </c>
      <c r="AY127" s="1349" t="s">
        <v>3693</v>
      </c>
      <c r="BC127" s="1349" t="s">
        <v>3693</v>
      </c>
      <c r="BE127" s="1349" t="s">
        <v>4678</v>
      </c>
      <c r="BF127" s="1350" t="s">
        <v>4907</v>
      </c>
      <c r="BG127" s="1349" t="s">
        <v>4967</v>
      </c>
      <c r="BH127" s="1350" t="s">
        <v>3655</v>
      </c>
      <c r="BP127" s="1349" t="s">
        <v>2300</v>
      </c>
      <c r="BS127" s="1349" t="s">
        <v>352</v>
      </c>
      <c r="BZ127" s="1349" t="s">
        <v>4546</v>
      </c>
      <c r="CE127" s="1349" t="s">
        <v>4678</v>
      </c>
      <c r="CF127" s="1349" t="b">
        <v>0</v>
      </c>
    </row>
    <row r="128" spans="2:84">
      <c r="B128" s="1349" t="s">
        <v>1349</v>
      </c>
      <c r="C128" s="1349" t="s">
        <v>3656</v>
      </c>
      <c r="D128" s="1349" t="s">
        <v>3657</v>
      </c>
      <c r="AY128" s="1349" t="s">
        <v>3693</v>
      </c>
      <c r="BC128" s="1349" t="s">
        <v>3693</v>
      </c>
      <c r="BE128" s="1349" t="s">
        <v>4678</v>
      </c>
      <c r="BF128" s="1350" t="s">
        <v>758</v>
      </c>
      <c r="BG128" s="1349" t="s">
        <v>4967</v>
      </c>
      <c r="BH128" s="1350" t="s">
        <v>2059</v>
      </c>
      <c r="BP128" s="1349" t="s">
        <v>2300</v>
      </c>
      <c r="BS128" s="1349" t="s">
        <v>2060</v>
      </c>
      <c r="BZ128" s="1349" t="s">
        <v>4546</v>
      </c>
      <c r="CE128" s="1349" t="s">
        <v>4678</v>
      </c>
      <c r="CF128" s="1349" t="b">
        <v>0</v>
      </c>
    </row>
    <row r="129" spans="2:84">
      <c r="B129" s="1349" t="s">
        <v>2061</v>
      </c>
      <c r="C129" s="1349" t="s">
        <v>2062</v>
      </c>
      <c r="D129" s="1349" t="s">
        <v>3586</v>
      </c>
      <c r="L129" s="1349" t="s">
        <v>2453</v>
      </c>
      <c r="O129" s="1349" t="s">
        <v>3692</v>
      </c>
      <c r="AF129" s="1349" t="s">
        <v>2454</v>
      </c>
      <c r="AY129" s="1349" t="s">
        <v>3693</v>
      </c>
      <c r="BC129" s="1349" t="s">
        <v>3693</v>
      </c>
      <c r="BE129" s="1349" t="s">
        <v>4678</v>
      </c>
      <c r="BF129" s="1350" t="s">
        <v>3942</v>
      </c>
      <c r="BG129" s="1349" t="s">
        <v>4967</v>
      </c>
      <c r="BH129" s="1350" t="s">
        <v>3801</v>
      </c>
      <c r="BP129" s="1349" t="s">
        <v>2300</v>
      </c>
      <c r="BS129" s="1349" t="s">
        <v>3802</v>
      </c>
      <c r="BZ129" s="1349" t="s">
        <v>4546</v>
      </c>
      <c r="CE129" s="1349" t="s">
        <v>4678</v>
      </c>
      <c r="CF129" s="1349" t="b">
        <v>0</v>
      </c>
    </row>
    <row r="130" spans="2:84">
      <c r="B130" s="1349" t="s">
        <v>3803</v>
      </c>
      <c r="C130" s="1349" t="s">
        <v>2387</v>
      </c>
      <c r="D130" s="1349" t="s">
        <v>1267</v>
      </c>
      <c r="F130" s="1349" t="s">
        <v>915</v>
      </c>
      <c r="L130" s="1349" t="s">
        <v>2523</v>
      </c>
      <c r="O130" s="1349" t="s">
        <v>3692</v>
      </c>
      <c r="AY130" s="1349" t="s">
        <v>3693</v>
      </c>
      <c r="BC130" s="1349" t="s">
        <v>3693</v>
      </c>
      <c r="BE130" s="1349" t="s">
        <v>4678</v>
      </c>
      <c r="BF130" s="1350" t="s">
        <v>2524</v>
      </c>
      <c r="BG130" s="1349" t="s">
        <v>4967</v>
      </c>
      <c r="BH130" s="1350" t="s">
        <v>3803</v>
      </c>
      <c r="BP130" s="1349" t="s">
        <v>2300</v>
      </c>
      <c r="BS130" s="1349" t="s">
        <v>1390</v>
      </c>
      <c r="BZ130" s="1349" t="s">
        <v>4223</v>
      </c>
      <c r="CE130" s="1349" t="s">
        <v>4678</v>
      </c>
      <c r="CF130" s="1349" t="b">
        <v>0</v>
      </c>
    </row>
    <row r="131" spans="2:84">
      <c r="B131" s="1349" t="s">
        <v>2446</v>
      </c>
      <c r="D131" s="1349" t="s">
        <v>139</v>
      </c>
      <c r="AY131" s="1349" t="s">
        <v>3693</v>
      </c>
      <c r="BC131" s="1349" t="s">
        <v>3693</v>
      </c>
      <c r="BE131" s="1349" t="s">
        <v>4678</v>
      </c>
      <c r="BF131" s="1350" t="s">
        <v>2678</v>
      </c>
      <c r="BG131" s="1349" t="s">
        <v>4967</v>
      </c>
      <c r="BH131" s="1350" t="s">
        <v>1733</v>
      </c>
      <c r="BP131" s="1349" t="s">
        <v>2300</v>
      </c>
      <c r="BS131" s="1349" t="s">
        <v>4305</v>
      </c>
      <c r="BZ131" s="1349" t="s">
        <v>4546</v>
      </c>
      <c r="CE131" s="1349" t="s">
        <v>4678</v>
      </c>
      <c r="CF131" s="1349" t="b">
        <v>0</v>
      </c>
    </row>
    <row r="132" spans="2:84">
      <c r="B132" s="1349" t="s">
        <v>3643</v>
      </c>
      <c r="D132" s="1349" t="s">
        <v>1033</v>
      </c>
      <c r="E132" s="1349" t="s">
        <v>1479</v>
      </c>
      <c r="AY132" s="1349" t="s">
        <v>3693</v>
      </c>
      <c r="BC132" s="1349" t="s">
        <v>3693</v>
      </c>
      <c r="BE132" s="1349" t="s">
        <v>4678</v>
      </c>
      <c r="BF132" s="1350" t="s">
        <v>1395</v>
      </c>
      <c r="BG132" s="1349" t="s">
        <v>4967</v>
      </c>
      <c r="BH132" s="1350" t="s">
        <v>1395</v>
      </c>
      <c r="BP132" s="1349" t="s">
        <v>2300</v>
      </c>
      <c r="BS132" s="1349" t="s">
        <v>1396</v>
      </c>
      <c r="BZ132" s="1349" t="s">
        <v>4546</v>
      </c>
      <c r="CE132" s="1349" t="s">
        <v>4678</v>
      </c>
      <c r="CF132" s="1349" t="b">
        <v>0</v>
      </c>
    </row>
    <row r="133" spans="2:84">
      <c r="B133" s="1349" t="s">
        <v>1397</v>
      </c>
      <c r="C133" s="1349" t="s">
        <v>1398</v>
      </c>
      <c r="D133" s="1349" t="s">
        <v>1399</v>
      </c>
      <c r="H133" s="1349" t="s">
        <v>3808</v>
      </c>
      <c r="AO133" s="1349" t="s">
        <v>1400</v>
      </c>
      <c r="AY133" s="1349" t="s">
        <v>3693</v>
      </c>
      <c r="BC133" s="1349" t="s">
        <v>3693</v>
      </c>
      <c r="BE133" s="1349" t="s">
        <v>4678</v>
      </c>
      <c r="BF133" s="1350" t="s">
        <v>3277</v>
      </c>
      <c r="BG133" s="1349" t="s">
        <v>4967</v>
      </c>
      <c r="BH133" s="1350" t="s">
        <v>3281</v>
      </c>
      <c r="BP133" s="1349" t="s">
        <v>2300</v>
      </c>
      <c r="BS133" s="1349" t="s">
        <v>1184</v>
      </c>
      <c r="BZ133" s="1349" t="s">
        <v>4546</v>
      </c>
      <c r="CE133" s="1349" t="s">
        <v>4678</v>
      </c>
      <c r="CF133" s="1349" t="b">
        <v>0</v>
      </c>
    </row>
    <row r="134" spans="2:84">
      <c r="B134" s="1349" t="s">
        <v>1185</v>
      </c>
      <c r="D134" s="1349" t="s">
        <v>4411</v>
      </c>
      <c r="E134" s="1349" t="s">
        <v>1680</v>
      </c>
      <c r="AY134" s="1349" t="s">
        <v>3693</v>
      </c>
      <c r="BC134" s="1349" t="s">
        <v>3693</v>
      </c>
      <c r="BE134" s="1349" t="s">
        <v>4678</v>
      </c>
      <c r="BF134" s="1350" t="s">
        <v>4185</v>
      </c>
      <c r="BG134" s="1349" t="s">
        <v>4967</v>
      </c>
      <c r="BH134" s="1350" t="s">
        <v>2980</v>
      </c>
      <c r="BP134" s="1349" t="s">
        <v>2300</v>
      </c>
      <c r="BS134" s="1349" t="s">
        <v>3001</v>
      </c>
      <c r="BZ134" s="1349" t="s">
        <v>4546</v>
      </c>
      <c r="CE134" s="1349" t="s">
        <v>4678</v>
      </c>
      <c r="CF134" s="1349" t="b">
        <v>0</v>
      </c>
    </row>
    <row r="135" spans="2:84">
      <c r="B135" s="1349" t="s">
        <v>1988</v>
      </c>
      <c r="C135" s="1349" t="s">
        <v>2999</v>
      </c>
      <c r="D135" s="1349" t="s">
        <v>3645</v>
      </c>
      <c r="AL135" s="1349" t="s">
        <v>4182</v>
      </c>
      <c r="AY135" s="1349" t="s">
        <v>3693</v>
      </c>
      <c r="BC135" s="1349" t="s">
        <v>3693</v>
      </c>
      <c r="BE135" s="1349" t="s">
        <v>4678</v>
      </c>
      <c r="BF135" s="1350" t="s">
        <v>1806</v>
      </c>
      <c r="BG135" s="1349" t="s">
        <v>4967</v>
      </c>
      <c r="BH135" s="1350" t="s">
        <v>1302</v>
      </c>
      <c r="BP135" s="1349" t="s">
        <v>2300</v>
      </c>
      <c r="BS135" s="1349" t="s">
        <v>1303</v>
      </c>
      <c r="BZ135" s="1349" t="s">
        <v>4546</v>
      </c>
      <c r="CE135" s="1349" t="s">
        <v>4678</v>
      </c>
      <c r="CF135" s="1349" t="b">
        <v>0</v>
      </c>
    </row>
    <row r="136" spans="2:84">
      <c r="B136" s="1349" t="s">
        <v>547</v>
      </c>
      <c r="C136" s="1349" t="s">
        <v>1304</v>
      </c>
      <c r="D136" s="1349" t="s">
        <v>1305</v>
      </c>
      <c r="F136" s="1349" t="s">
        <v>4478</v>
      </c>
      <c r="H136" s="1349" t="s">
        <v>31</v>
      </c>
      <c r="AF136" s="1349" t="s">
        <v>2015</v>
      </c>
      <c r="AO136" s="1349" t="s">
        <v>4283</v>
      </c>
      <c r="AY136" s="1349" t="s">
        <v>3693</v>
      </c>
      <c r="BC136" s="1349" t="s">
        <v>3693</v>
      </c>
      <c r="BE136" s="1349" t="s">
        <v>4678</v>
      </c>
      <c r="BF136" s="1350" t="s">
        <v>4284</v>
      </c>
      <c r="BG136" s="1349" t="s">
        <v>4967</v>
      </c>
      <c r="BH136" s="1350" t="s">
        <v>3540</v>
      </c>
      <c r="BP136" s="1349" t="s">
        <v>2300</v>
      </c>
      <c r="BS136" s="1349" t="s">
        <v>3541</v>
      </c>
      <c r="BZ136" s="1349" t="s">
        <v>4546</v>
      </c>
      <c r="CE136" s="1349" t="s">
        <v>4678</v>
      </c>
      <c r="CF136" s="1349" t="b">
        <v>0</v>
      </c>
    </row>
    <row r="137" spans="2:84">
      <c r="B137" s="1349" t="s">
        <v>3542</v>
      </c>
      <c r="C137" s="1349" t="s">
        <v>3543</v>
      </c>
      <c r="D137" s="1349" t="s">
        <v>3544</v>
      </c>
      <c r="AY137" s="1349" t="s">
        <v>3693</v>
      </c>
      <c r="BC137" s="1349" t="s">
        <v>3693</v>
      </c>
      <c r="BE137" s="1349" t="s">
        <v>4678</v>
      </c>
      <c r="BF137" s="1350" t="s">
        <v>2733</v>
      </c>
      <c r="BG137" s="1349" t="s">
        <v>4967</v>
      </c>
      <c r="BH137" s="1350" t="s">
        <v>2733</v>
      </c>
      <c r="BP137" s="1349" t="s">
        <v>2300</v>
      </c>
      <c r="BS137" s="1349" t="s">
        <v>4584</v>
      </c>
      <c r="BZ137" s="1349" t="s">
        <v>4546</v>
      </c>
      <c r="CE137" s="1349" t="s">
        <v>4678</v>
      </c>
      <c r="CF137" s="1349" t="b">
        <v>0</v>
      </c>
    </row>
    <row r="138" spans="2:84">
      <c r="B138" s="1349" t="s">
        <v>3668</v>
      </c>
      <c r="C138" s="1349" t="s">
        <v>4045</v>
      </c>
      <c r="D138" s="1349" t="s">
        <v>4118</v>
      </c>
      <c r="AY138" s="1349" t="s">
        <v>3693</v>
      </c>
      <c r="BC138" s="1349" t="s">
        <v>3693</v>
      </c>
      <c r="BE138" s="1349" t="s">
        <v>4678</v>
      </c>
      <c r="BF138" s="1350" t="s">
        <v>4585</v>
      </c>
      <c r="BG138" s="1349" t="s">
        <v>4967</v>
      </c>
      <c r="BH138" s="1350" t="s">
        <v>48</v>
      </c>
      <c r="BP138" s="1349" t="s">
        <v>2300</v>
      </c>
      <c r="BS138" s="1349" t="s">
        <v>49</v>
      </c>
      <c r="BZ138" s="1349" t="s">
        <v>4546</v>
      </c>
      <c r="CE138" s="1349" t="s">
        <v>4678</v>
      </c>
      <c r="CF138" s="1349" t="b">
        <v>0</v>
      </c>
    </row>
    <row r="139" spans="2:84">
      <c r="B139" s="1349" t="s">
        <v>50</v>
      </c>
      <c r="D139" s="1349" t="s">
        <v>479</v>
      </c>
      <c r="E139" s="1349" t="s">
        <v>1680</v>
      </c>
      <c r="F139" s="1349" t="s">
        <v>51</v>
      </c>
      <c r="H139" s="1349" t="s">
        <v>4052</v>
      </c>
      <c r="AF139" s="1349" t="s">
        <v>2194</v>
      </c>
      <c r="AO139" s="1349" t="s">
        <v>2195</v>
      </c>
      <c r="AY139" s="1349" t="s">
        <v>3693</v>
      </c>
      <c r="BC139" s="1349" t="s">
        <v>3693</v>
      </c>
      <c r="BE139" s="1349" t="s">
        <v>4678</v>
      </c>
      <c r="BF139" s="1350" t="s">
        <v>3014</v>
      </c>
      <c r="BG139" s="1349" t="s">
        <v>4967</v>
      </c>
      <c r="BH139" s="1350" t="s">
        <v>3049</v>
      </c>
      <c r="BP139" s="1349" t="s">
        <v>2300</v>
      </c>
      <c r="BS139" s="1349" t="s">
        <v>1578</v>
      </c>
      <c r="BZ139" s="1349" t="s">
        <v>4546</v>
      </c>
      <c r="CE139" s="1349" t="s">
        <v>4678</v>
      </c>
      <c r="CF139" s="1349" t="b">
        <v>0</v>
      </c>
    </row>
    <row r="140" spans="2:84">
      <c r="B140" s="1349" t="s">
        <v>1579</v>
      </c>
      <c r="D140" s="1349" t="s">
        <v>4117</v>
      </c>
      <c r="AF140" s="1349" t="s">
        <v>1580</v>
      </c>
      <c r="AY140" s="1349" t="s">
        <v>3693</v>
      </c>
      <c r="BC140" s="1349" t="s">
        <v>3693</v>
      </c>
      <c r="BE140" s="1349" t="s">
        <v>4678</v>
      </c>
      <c r="BP140" s="1349" t="s">
        <v>2300</v>
      </c>
      <c r="CE140" s="1349" t="s">
        <v>4678</v>
      </c>
      <c r="CF140" s="1349" t="b">
        <v>0</v>
      </c>
    </row>
    <row r="141" spans="2:84">
      <c r="B141" s="1349" t="s">
        <v>24</v>
      </c>
      <c r="D141" s="1349" t="s">
        <v>3809</v>
      </c>
      <c r="AF141" s="1349" t="s">
        <v>1581</v>
      </c>
      <c r="AY141" s="1349" t="s">
        <v>3693</v>
      </c>
      <c r="BC141" s="1349" t="s">
        <v>3693</v>
      </c>
      <c r="BE141" s="1349" t="s">
        <v>4678</v>
      </c>
      <c r="BP141" s="1349" t="s">
        <v>2300</v>
      </c>
      <c r="CE141" s="1349" t="s">
        <v>4678</v>
      </c>
      <c r="CF141" s="1349" t="b">
        <v>0</v>
      </c>
    </row>
    <row r="142" spans="2:84">
      <c r="B142" s="1349" t="s">
        <v>4047</v>
      </c>
      <c r="D142" s="1349" t="s">
        <v>4045</v>
      </c>
      <c r="AF142" s="1349" t="s">
        <v>2991</v>
      </c>
      <c r="AY142" s="1349" t="s">
        <v>3693</v>
      </c>
      <c r="BC142" s="1349" t="s">
        <v>3693</v>
      </c>
      <c r="BE142" s="1349" t="s">
        <v>4678</v>
      </c>
      <c r="BP142" s="1349" t="s">
        <v>2300</v>
      </c>
      <c r="CE142" s="1349" t="s">
        <v>4678</v>
      </c>
      <c r="CF142" s="1349" t="b">
        <v>0</v>
      </c>
    </row>
    <row r="143" spans="2:84">
      <c r="B143" s="1349" t="s">
        <v>4115</v>
      </c>
      <c r="D143" s="1349" t="s">
        <v>3089</v>
      </c>
      <c r="AF143" s="1349" t="s">
        <v>2600</v>
      </c>
      <c r="AY143" s="1349" t="s">
        <v>3693</v>
      </c>
      <c r="BC143" s="1349" t="s">
        <v>3693</v>
      </c>
      <c r="BE143" s="1349" t="s">
        <v>4678</v>
      </c>
      <c r="BP143" s="1349" t="s">
        <v>2300</v>
      </c>
      <c r="CE143" s="1349" t="s">
        <v>4678</v>
      </c>
      <c r="CF143" s="1349" t="b">
        <v>0</v>
      </c>
    </row>
    <row r="144" spans="2:84">
      <c r="B144" s="1349" t="s">
        <v>2601</v>
      </c>
      <c r="D144" s="1349" t="s">
        <v>3143</v>
      </c>
      <c r="AF144" s="1349" t="s">
        <v>2602</v>
      </c>
      <c r="AY144" s="1349" t="s">
        <v>3693</v>
      </c>
      <c r="BC144" s="1349" t="s">
        <v>3693</v>
      </c>
      <c r="BE144" s="1349" t="s">
        <v>4678</v>
      </c>
      <c r="BP144" s="1349" t="s">
        <v>2300</v>
      </c>
      <c r="CE144" s="1349" t="s">
        <v>4678</v>
      </c>
      <c r="CF144" s="1349" t="b">
        <v>0</v>
      </c>
    </row>
    <row r="145" spans="2:84">
      <c r="B145" s="1349" t="s">
        <v>1988</v>
      </c>
      <c r="D145" s="1349" t="s">
        <v>2610</v>
      </c>
      <c r="AF145" s="1349" t="s">
        <v>458</v>
      </c>
      <c r="AY145" s="1349" t="s">
        <v>3693</v>
      </c>
      <c r="BC145" s="1349" t="s">
        <v>3693</v>
      </c>
      <c r="BE145" s="1349" t="s">
        <v>4678</v>
      </c>
      <c r="BP145" s="1349" t="s">
        <v>2300</v>
      </c>
      <c r="CE145" s="1349" t="s">
        <v>4678</v>
      </c>
      <c r="CF145" s="1349" t="b">
        <v>0</v>
      </c>
    </row>
  </sheetData>
  <phoneticPr fontId="258" type="noConversion"/>
  <pageMargins left="0.75" right="0.75" top="1" bottom="1" header="0.5" footer="0.5"/>
  <pageSetup orientation="portrait" r:id="rId1"/>
  <headerFooter alignWithMargins="0">
    <oddHeader>&amp;A</oddHeader>
    <oddFooter>Page &amp;P</oddFooter>
  </headerFooter>
</worksheet>
</file>

<file path=xl/worksheets/sheet4.xml><?xml version="1.0" encoding="utf-8"?>
<worksheet xmlns="http://schemas.openxmlformats.org/spreadsheetml/2006/main" xmlns:r="http://schemas.openxmlformats.org/officeDocument/2006/relationships">
  <sheetPr codeName="Hoja21"/>
  <dimension ref="B3:F37"/>
  <sheetViews>
    <sheetView workbookViewId="0"/>
  </sheetViews>
  <sheetFormatPr baseColWidth="10" defaultRowHeight="14.25"/>
  <cols>
    <col min="1" max="1" width="5.7109375" customWidth="1"/>
    <col min="2" max="2" width="20.7109375" customWidth="1"/>
    <col min="3" max="3" width="11.5703125" style="1" bestFit="1" customWidth="1"/>
    <col min="4" max="4" width="20.7109375" style="1" customWidth="1"/>
    <col min="5" max="5" width="17.7109375" style="2693" customWidth="1"/>
    <col min="6" max="6" width="106" customWidth="1"/>
  </cols>
  <sheetData>
    <row r="3" spans="2:6" ht="30" customHeight="1">
      <c r="D3" s="3764" t="s">
        <v>5168</v>
      </c>
      <c r="E3" s="3764"/>
      <c r="F3" s="3764"/>
    </row>
    <row r="4" spans="2:6" ht="30" customHeight="1">
      <c r="D4" s="3764"/>
      <c r="E4" s="3764"/>
      <c r="F4" s="3764"/>
    </row>
    <row r="5" spans="2:6">
      <c r="F5" s="2711">
        <v>43027</v>
      </c>
    </row>
    <row r="6" spans="2:6" s="2708" customFormat="1" ht="30">
      <c r="B6" s="2710" t="s">
        <v>1629</v>
      </c>
      <c r="C6" s="2707" t="s">
        <v>5165</v>
      </c>
      <c r="D6" s="2706" t="s">
        <v>5164</v>
      </c>
      <c r="E6" s="2707" t="s">
        <v>5166</v>
      </c>
      <c r="F6" s="2709" t="s">
        <v>5167</v>
      </c>
    </row>
    <row r="7" spans="2:6" ht="33">
      <c r="B7" s="2699" t="s">
        <v>3660</v>
      </c>
      <c r="C7" s="2701">
        <v>42996</v>
      </c>
      <c r="D7" s="2712" t="s">
        <v>5169</v>
      </c>
      <c r="E7" s="2697" t="s">
        <v>5159</v>
      </c>
      <c r="F7" s="2713" t="s">
        <v>5172</v>
      </c>
    </row>
    <row r="8" spans="2:6" ht="33">
      <c r="B8" s="2700"/>
      <c r="C8" s="2701">
        <v>42909</v>
      </c>
      <c r="D8" s="2712" t="s">
        <v>5170</v>
      </c>
      <c r="E8" s="2697" t="s">
        <v>5159</v>
      </c>
      <c r="F8" s="2713" t="s">
        <v>5172</v>
      </c>
    </row>
    <row r="9" spans="2:6" ht="33">
      <c r="B9" s="738"/>
      <c r="C9" s="2701">
        <v>42859</v>
      </c>
      <c r="D9" s="2712" t="s">
        <v>5171</v>
      </c>
      <c r="E9" s="2697" t="s">
        <v>5159</v>
      </c>
      <c r="F9" s="2713" t="s">
        <v>5172</v>
      </c>
    </row>
    <row r="10" spans="2:6" ht="5.0999999999999996" customHeight="1">
      <c r="B10" s="2695"/>
      <c r="C10" s="2701"/>
      <c r="D10" s="2703"/>
      <c r="E10" s="2694"/>
      <c r="F10" s="7"/>
    </row>
    <row r="11" spans="2:6" ht="45.75">
      <c r="B11" s="2699" t="s">
        <v>5058</v>
      </c>
      <c r="C11" s="2701">
        <v>42989</v>
      </c>
      <c r="D11" s="2714" t="s">
        <v>5180</v>
      </c>
      <c r="E11" s="2697" t="s">
        <v>5159</v>
      </c>
      <c r="F11" s="2713" t="s">
        <v>5173</v>
      </c>
    </row>
    <row r="12" spans="2:6" ht="33">
      <c r="B12" s="2700"/>
      <c r="C12" s="2701">
        <v>42858</v>
      </c>
      <c r="D12" s="2712" t="s">
        <v>5174</v>
      </c>
      <c r="E12" s="2697" t="s">
        <v>5159</v>
      </c>
      <c r="F12" s="2713" t="s">
        <v>5175</v>
      </c>
    </row>
    <row r="13" spans="2:6" ht="51">
      <c r="B13" s="738"/>
      <c r="C13" s="2701">
        <v>42811</v>
      </c>
      <c r="D13" s="2712" t="s">
        <v>5176</v>
      </c>
      <c r="E13" s="2697" t="s">
        <v>5159</v>
      </c>
      <c r="F13" s="2713" t="s">
        <v>5179</v>
      </c>
    </row>
    <row r="14" spans="2:6" ht="5.0999999999999996" customHeight="1">
      <c r="B14" s="2695"/>
      <c r="C14" s="2703"/>
      <c r="D14" s="2703"/>
      <c r="E14" s="2694"/>
      <c r="F14" s="7"/>
    </row>
    <row r="15" spans="2:6" ht="25.5">
      <c r="B15" s="2695" t="s">
        <v>5060</v>
      </c>
      <c r="C15" s="2701">
        <v>42923</v>
      </c>
      <c r="D15" s="2702" t="s">
        <v>5092</v>
      </c>
      <c r="E15" s="2694" t="s">
        <v>5160</v>
      </c>
      <c r="F15" s="2713" t="s">
        <v>5177</v>
      </c>
    </row>
    <row r="16" spans="2:6" ht="5.0999999999999996" customHeight="1">
      <c r="B16" s="2695"/>
      <c r="C16" s="2703"/>
      <c r="D16" s="2703"/>
      <c r="E16" s="2694"/>
      <c r="F16" s="7"/>
    </row>
    <row r="17" spans="2:6" ht="38.25">
      <c r="B17" s="2695" t="s">
        <v>5061</v>
      </c>
      <c r="C17" s="2701">
        <v>42923</v>
      </c>
      <c r="D17" s="2702" t="s">
        <v>5092</v>
      </c>
      <c r="E17" s="2694" t="s">
        <v>5160</v>
      </c>
      <c r="F17" s="2713" t="s">
        <v>5178</v>
      </c>
    </row>
    <row r="18" spans="2:6" ht="5.0999999999999996" customHeight="1">
      <c r="B18" s="2696"/>
      <c r="C18" s="2548"/>
      <c r="D18" s="2548"/>
      <c r="E18" s="97"/>
    </row>
    <row r="19" spans="2:6" ht="51">
      <c r="B19" s="2698" t="s">
        <v>1445</v>
      </c>
      <c r="C19" s="2701">
        <v>42749</v>
      </c>
      <c r="D19" s="2704" t="s">
        <v>5162</v>
      </c>
      <c r="E19" s="2697" t="s">
        <v>5161</v>
      </c>
      <c r="F19" s="2705" t="s">
        <v>5163</v>
      </c>
    </row>
    <row r="20" spans="2:6" ht="51">
      <c r="B20" s="2698" t="s">
        <v>1446</v>
      </c>
      <c r="C20" s="2701">
        <v>42817</v>
      </c>
      <c r="D20" s="2704" t="s">
        <v>5162</v>
      </c>
      <c r="E20" s="2697" t="s">
        <v>5161</v>
      </c>
      <c r="F20" s="2705" t="s">
        <v>5163</v>
      </c>
    </row>
    <row r="21" spans="2:6" ht="51">
      <c r="B21" s="2695" t="s">
        <v>1320</v>
      </c>
      <c r="C21" s="2701">
        <v>42738</v>
      </c>
      <c r="D21" s="2704" t="s">
        <v>5162</v>
      </c>
      <c r="E21" s="2697" t="s">
        <v>5161</v>
      </c>
      <c r="F21" s="2705" t="s">
        <v>5163</v>
      </c>
    </row>
    <row r="22" spans="2:6" ht="49.5">
      <c r="B22" s="2698" t="s">
        <v>1436</v>
      </c>
      <c r="C22" s="2701">
        <v>42735</v>
      </c>
      <c r="D22" s="2712" t="s">
        <v>5181</v>
      </c>
      <c r="E22" s="2697" t="s">
        <v>5161</v>
      </c>
      <c r="F22" s="2715" t="s">
        <v>5187</v>
      </c>
    </row>
    <row r="23" spans="2:6" ht="49.5">
      <c r="B23" s="2699" t="s">
        <v>4487</v>
      </c>
      <c r="C23" s="2701">
        <v>42934</v>
      </c>
      <c r="D23" s="2712" t="s">
        <v>5181</v>
      </c>
      <c r="E23" s="2697" t="s">
        <v>5161</v>
      </c>
      <c r="F23" s="2715" t="s">
        <v>5188</v>
      </c>
    </row>
    <row r="24" spans="2:6" ht="33">
      <c r="B24" s="738"/>
      <c r="C24" s="2701">
        <v>43008</v>
      </c>
      <c r="D24" s="2712" t="s">
        <v>5185</v>
      </c>
      <c r="E24" s="2697" t="s">
        <v>5161</v>
      </c>
      <c r="F24" s="2715" t="s">
        <v>5186</v>
      </c>
    </row>
    <row r="25" spans="2:6" ht="51">
      <c r="B25" s="2698" t="s">
        <v>4138</v>
      </c>
      <c r="C25" s="2701">
        <v>42984</v>
      </c>
      <c r="D25" s="2704" t="s">
        <v>5162</v>
      </c>
      <c r="E25" s="2697" t="s">
        <v>5161</v>
      </c>
      <c r="F25" s="2705" t="s">
        <v>5163</v>
      </c>
    </row>
    <row r="26" spans="2:6" ht="51">
      <c r="B26" s="2698" t="s">
        <v>1146</v>
      </c>
      <c r="C26" s="2701">
        <v>42919</v>
      </c>
      <c r="D26" s="2702" t="s">
        <v>5162</v>
      </c>
      <c r="E26" s="2697" t="s">
        <v>5161</v>
      </c>
      <c r="F26" s="2705" t="s">
        <v>5163</v>
      </c>
    </row>
    <row r="27" spans="2:6" ht="51">
      <c r="B27" s="2698" t="s">
        <v>1133</v>
      </c>
      <c r="C27" s="2701">
        <v>42885</v>
      </c>
      <c r="D27" s="2702" t="s">
        <v>5162</v>
      </c>
      <c r="E27" s="2697" t="s">
        <v>5161</v>
      </c>
      <c r="F27" s="2705" t="s">
        <v>5163</v>
      </c>
    </row>
    <row r="28" spans="2:6" ht="49.5">
      <c r="B28" s="2695" t="s">
        <v>1145</v>
      </c>
      <c r="C28" s="2701">
        <v>43006</v>
      </c>
      <c r="D28" s="2712" t="s">
        <v>5181</v>
      </c>
      <c r="E28" s="2697" t="s">
        <v>5161</v>
      </c>
      <c r="F28" s="2715" t="s">
        <v>5182</v>
      </c>
    </row>
    <row r="29" spans="2:6" ht="49.5">
      <c r="B29" s="2698" t="s">
        <v>1437</v>
      </c>
      <c r="C29" s="2701">
        <v>42737</v>
      </c>
      <c r="D29" s="2712" t="s">
        <v>5181</v>
      </c>
      <c r="E29" s="2697" t="s">
        <v>5161</v>
      </c>
      <c r="F29" s="2713" t="s">
        <v>5189</v>
      </c>
    </row>
    <row r="30" spans="2:6" ht="49.5">
      <c r="B30" s="2716" t="s">
        <v>1907</v>
      </c>
      <c r="C30" s="2701">
        <v>42754</v>
      </c>
      <c r="D30" s="2712" t="s">
        <v>5181</v>
      </c>
      <c r="E30" s="2697" t="s">
        <v>5161</v>
      </c>
      <c r="F30" s="2713" t="s">
        <v>5183</v>
      </c>
    </row>
    <row r="31" spans="2:6" ht="51">
      <c r="B31" s="2717"/>
      <c r="C31" s="2701">
        <v>42838</v>
      </c>
      <c r="D31" s="2702" t="s">
        <v>5162</v>
      </c>
      <c r="E31" s="2697" t="s">
        <v>5161</v>
      </c>
      <c r="F31" s="2705" t="s">
        <v>5163</v>
      </c>
    </row>
    <row r="32" spans="2:6" ht="49.5">
      <c r="B32" s="2716" t="s">
        <v>4905</v>
      </c>
      <c r="C32" s="2701">
        <v>42804</v>
      </c>
      <c r="D32" s="2712" t="s">
        <v>5181</v>
      </c>
      <c r="E32" s="2697" t="s">
        <v>5161</v>
      </c>
      <c r="F32" s="2713" t="s">
        <v>5184</v>
      </c>
    </row>
    <row r="33" spans="2:6" ht="51">
      <c r="B33" s="738"/>
      <c r="C33" s="2701">
        <v>42807</v>
      </c>
      <c r="D33" s="2702" t="s">
        <v>5162</v>
      </c>
      <c r="E33" s="2697" t="s">
        <v>5161</v>
      </c>
      <c r="F33" s="2705" t="s">
        <v>5163</v>
      </c>
    </row>
    <row r="34" spans="2:6" ht="33">
      <c r="B34" s="2698" t="s">
        <v>4302</v>
      </c>
      <c r="C34" s="2701">
        <v>42750</v>
      </c>
      <c r="D34" s="2712" t="s">
        <v>5185</v>
      </c>
      <c r="E34" s="2697" t="s">
        <v>5161</v>
      </c>
      <c r="F34" s="2715" t="s">
        <v>5186</v>
      </c>
    </row>
    <row r="35" spans="2:6" ht="51">
      <c r="B35" s="2698" t="s">
        <v>4303</v>
      </c>
      <c r="C35" s="2701">
        <v>42990</v>
      </c>
      <c r="D35" s="2704" t="s">
        <v>5162</v>
      </c>
      <c r="E35" s="2697" t="s">
        <v>5161</v>
      </c>
      <c r="F35" s="2705" t="s">
        <v>5163</v>
      </c>
    </row>
    <row r="36" spans="2:6" ht="51">
      <c r="B36" s="2698" t="s">
        <v>2559</v>
      </c>
      <c r="C36" s="2701">
        <v>42835</v>
      </c>
      <c r="D36" s="2702" t="s">
        <v>5162</v>
      </c>
      <c r="E36" s="2697" t="s">
        <v>5161</v>
      </c>
      <c r="F36" s="2705" t="s">
        <v>5163</v>
      </c>
    </row>
    <row r="37" spans="2:6" ht="51">
      <c r="B37" s="2698" t="s">
        <v>1144</v>
      </c>
      <c r="C37" s="2701">
        <v>42934</v>
      </c>
      <c r="D37" s="2702" t="s">
        <v>5162</v>
      </c>
      <c r="E37" s="2697" t="s">
        <v>5161</v>
      </c>
      <c r="F37" s="2705" t="s">
        <v>5163</v>
      </c>
    </row>
  </sheetData>
  <mergeCells count="1">
    <mergeCell ref="D3:F4"/>
  </mergeCells>
  <pageMargins left="0.7" right="0.7" top="0.75" bottom="0.75" header="0.3" footer="0.3"/>
  <pageSetup orientation="portrait" horizontalDpi="120" verticalDpi="72" r:id="rId1"/>
  <drawing r:id="rId2"/>
</worksheet>
</file>

<file path=xl/worksheets/sheet5.xml><?xml version="1.0" encoding="utf-8"?>
<worksheet xmlns="http://schemas.openxmlformats.org/spreadsheetml/2006/main" xmlns:r="http://schemas.openxmlformats.org/officeDocument/2006/relationships">
  <sheetPr codeName="Hoja24"/>
  <dimension ref="A3:G90"/>
  <sheetViews>
    <sheetView workbookViewId="0">
      <selection activeCell="F10" sqref="F10"/>
    </sheetView>
  </sheetViews>
  <sheetFormatPr baseColWidth="10" defaultRowHeight="14.25"/>
  <cols>
    <col min="1" max="1" width="5.7109375" customWidth="1"/>
    <col min="2" max="2" width="20.7109375" customWidth="1"/>
    <col min="3" max="3" width="11.5703125" style="1" bestFit="1" customWidth="1"/>
    <col min="4" max="4" width="20.7109375" style="1" customWidth="1"/>
    <col min="5" max="5" width="17.7109375" style="2721" customWidth="1"/>
    <col min="6" max="6" width="106" customWidth="1"/>
  </cols>
  <sheetData>
    <row r="3" spans="1:7" ht="30" customHeight="1">
      <c r="D3" s="3764" t="s">
        <v>5214</v>
      </c>
      <c r="E3" s="3764"/>
      <c r="F3" s="3764"/>
    </row>
    <row r="4" spans="1:7" ht="30" customHeight="1">
      <c r="D4" s="3764"/>
      <c r="E4" s="3764"/>
      <c r="F4" s="3764"/>
    </row>
    <row r="5" spans="1:7" ht="15" thickBot="1">
      <c r="F5" s="2711">
        <v>43046</v>
      </c>
    </row>
    <row r="6" spans="1:7" s="2708" customFormat="1" ht="30.75" thickBot="1">
      <c r="B6" s="2759" t="s">
        <v>1629</v>
      </c>
      <c r="C6" s="2760" t="s">
        <v>5165</v>
      </c>
      <c r="D6" s="2761" t="s">
        <v>5164</v>
      </c>
      <c r="E6" s="2760" t="s">
        <v>5166</v>
      </c>
      <c r="F6" s="2762" t="s">
        <v>5215</v>
      </c>
    </row>
    <row r="7" spans="1:7" ht="39" thickBot="1">
      <c r="B7" s="738" t="s">
        <v>5061</v>
      </c>
      <c r="C7" s="2733">
        <v>42923</v>
      </c>
      <c r="D7" s="2734" t="s">
        <v>5092</v>
      </c>
      <c r="E7" s="2753" t="s">
        <v>5160</v>
      </c>
      <c r="F7" s="2748" t="s">
        <v>5178</v>
      </c>
    </row>
    <row r="8" spans="1:7" ht="27" thickTop="1" thickBot="1">
      <c r="B8" s="2754" t="s">
        <v>5060</v>
      </c>
      <c r="C8" s="2755">
        <v>42923</v>
      </c>
      <c r="D8" s="2756" t="s">
        <v>5092</v>
      </c>
      <c r="E8" s="2757" t="s">
        <v>5160</v>
      </c>
      <c r="F8" s="2758" t="s">
        <v>5177</v>
      </c>
    </row>
    <row r="9" spans="1:7" ht="39" thickTop="1">
      <c r="B9" s="2700" t="s">
        <v>5058</v>
      </c>
      <c r="C9" s="2733">
        <v>42989</v>
      </c>
      <c r="D9" s="2750" t="s">
        <v>5203</v>
      </c>
      <c r="E9" s="2735" t="s">
        <v>5159</v>
      </c>
      <c r="F9" s="2748" t="s">
        <v>5173</v>
      </c>
    </row>
    <row r="10" spans="1:7" ht="25.5">
      <c r="B10" s="2699" t="s">
        <v>5058</v>
      </c>
      <c r="C10" s="2701">
        <v>42858</v>
      </c>
      <c r="D10" s="2727" t="s">
        <v>5174</v>
      </c>
      <c r="E10" s="2697" t="s">
        <v>5159</v>
      </c>
      <c r="F10" s="2713" t="s">
        <v>5175</v>
      </c>
    </row>
    <row r="11" spans="1:7" ht="51.75" thickBot="1">
      <c r="B11" s="2737" t="s">
        <v>5058</v>
      </c>
      <c r="C11" s="2738">
        <v>42811</v>
      </c>
      <c r="D11" s="2751" t="s">
        <v>5204</v>
      </c>
      <c r="E11" s="2740" t="s">
        <v>5159</v>
      </c>
      <c r="F11" s="2752" t="s">
        <v>5179</v>
      </c>
    </row>
    <row r="12" spans="1:7" ht="26.25" thickTop="1">
      <c r="B12" s="2699" t="s">
        <v>3660</v>
      </c>
      <c r="C12" s="2701">
        <v>42996</v>
      </c>
      <c r="D12" s="2727" t="s">
        <v>5169</v>
      </c>
      <c r="E12" s="2697" t="s">
        <v>5159</v>
      </c>
      <c r="F12" s="2713" t="s">
        <v>5172</v>
      </c>
    </row>
    <row r="13" spans="1:7" ht="25.5">
      <c r="B13" s="2699" t="s">
        <v>3660</v>
      </c>
      <c r="C13" s="2701">
        <v>42909</v>
      </c>
      <c r="D13" s="2727" t="s">
        <v>5170</v>
      </c>
      <c r="E13" s="2697" t="s">
        <v>5159</v>
      </c>
      <c r="F13" s="2713" t="s">
        <v>5172</v>
      </c>
    </row>
    <row r="14" spans="1:7" ht="25.5">
      <c r="B14" s="2699" t="s">
        <v>3660</v>
      </c>
      <c r="C14" s="2701">
        <v>42859</v>
      </c>
      <c r="D14" s="2727" t="s">
        <v>5171</v>
      </c>
      <c r="E14" s="2697" t="s">
        <v>5159</v>
      </c>
      <c r="F14" s="2713" t="s">
        <v>5172</v>
      </c>
    </row>
    <row r="15" spans="1:7" ht="26.25" thickBot="1">
      <c r="B15" s="2737" t="s">
        <v>3660</v>
      </c>
      <c r="C15" s="2738">
        <v>42691</v>
      </c>
      <c r="D15" s="2751" t="s">
        <v>5209</v>
      </c>
      <c r="E15" s="2740" t="s">
        <v>5159</v>
      </c>
      <c r="F15" s="2752" t="s">
        <v>5172</v>
      </c>
    </row>
    <row r="16" spans="1:7" ht="5.0999999999999996" customHeight="1" thickTop="1">
      <c r="A16" s="75"/>
      <c r="B16" s="2723"/>
      <c r="C16" s="2729"/>
      <c r="D16" s="2730"/>
      <c r="E16" s="2731"/>
      <c r="F16" s="2732"/>
      <c r="G16" s="75"/>
    </row>
    <row r="17" spans="2:6" ht="51">
      <c r="B17" s="2722" t="s">
        <v>1144</v>
      </c>
      <c r="C17" s="2701">
        <v>42934</v>
      </c>
      <c r="D17" s="2728" t="s">
        <v>5162</v>
      </c>
      <c r="E17" s="2697" t="s">
        <v>5161</v>
      </c>
      <c r="F17" s="2705" t="s">
        <v>5163</v>
      </c>
    </row>
    <row r="18" spans="2:6" ht="38.25">
      <c r="B18" s="2722" t="s">
        <v>1144</v>
      </c>
      <c r="C18" s="2701">
        <v>42972</v>
      </c>
      <c r="D18" s="2727" t="s">
        <v>5181</v>
      </c>
      <c r="E18" s="2697" t="s">
        <v>5161</v>
      </c>
      <c r="F18" s="2713" t="s">
        <v>5202</v>
      </c>
    </row>
    <row r="19" spans="2:6" ht="51.75" thickBot="1">
      <c r="B19" s="2737" t="s">
        <v>1144</v>
      </c>
      <c r="C19" s="2738">
        <v>42555</v>
      </c>
      <c r="D19" s="2739" t="s">
        <v>5162</v>
      </c>
      <c r="E19" s="2740" t="s">
        <v>5161</v>
      </c>
      <c r="F19" s="2741" t="s">
        <v>5163</v>
      </c>
    </row>
    <row r="20" spans="2:6" ht="51.75" thickTop="1">
      <c r="B20" s="738" t="s">
        <v>1134</v>
      </c>
      <c r="C20" s="2733">
        <v>42962</v>
      </c>
      <c r="D20" s="2734" t="s">
        <v>5162</v>
      </c>
      <c r="E20" s="2735" t="s">
        <v>5161</v>
      </c>
      <c r="F20" s="2736" t="s">
        <v>5163</v>
      </c>
    </row>
    <row r="21" spans="2:6" ht="51.75" thickBot="1">
      <c r="B21" s="2737" t="s">
        <v>1134</v>
      </c>
      <c r="C21" s="2738">
        <v>42535</v>
      </c>
      <c r="D21" s="2739" t="s">
        <v>5162</v>
      </c>
      <c r="E21" s="2740" t="s">
        <v>5161</v>
      </c>
      <c r="F21" s="2741" t="s">
        <v>5163</v>
      </c>
    </row>
    <row r="22" spans="2:6" ht="51.75" thickTop="1">
      <c r="B22" s="738" t="s">
        <v>2559</v>
      </c>
      <c r="C22" s="2733">
        <v>42835</v>
      </c>
      <c r="D22" s="2734" t="s">
        <v>5162</v>
      </c>
      <c r="E22" s="2735" t="s">
        <v>5161</v>
      </c>
      <c r="F22" s="2736" t="s">
        <v>5163</v>
      </c>
    </row>
    <row r="23" spans="2:6" ht="51.75" thickBot="1">
      <c r="B23" s="2737" t="s">
        <v>2559</v>
      </c>
      <c r="C23" s="2738">
        <v>42408</v>
      </c>
      <c r="D23" s="2739" t="s">
        <v>5162</v>
      </c>
      <c r="E23" s="2740" t="s">
        <v>5161</v>
      </c>
      <c r="F23" s="2741" t="s">
        <v>5163</v>
      </c>
    </row>
    <row r="24" spans="2:6" ht="51.75" thickTop="1">
      <c r="B24" s="738" t="s">
        <v>4303</v>
      </c>
      <c r="C24" s="2733">
        <v>42990</v>
      </c>
      <c r="D24" s="2734" t="s">
        <v>5162</v>
      </c>
      <c r="E24" s="2735" t="s">
        <v>5161</v>
      </c>
      <c r="F24" s="2736" t="s">
        <v>5163</v>
      </c>
    </row>
    <row r="25" spans="2:6" ht="51.75" thickBot="1">
      <c r="B25" s="2737" t="s">
        <v>4303</v>
      </c>
      <c r="C25" s="2738">
        <v>42416</v>
      </c>
      <c r="D25" s="2739" t="s">
        <v>5162</v>
      </c>
      <c r="E25" s="2740" t="s">
        <v>5161</v>
      </c>
      <c r="F25" s="2741" t="s">
        <v>5163</v>
      </c>
    </row>
    <row r="26" spans="2:6" ht="51.75" thickTop="1">
      <c r="B26" s="738" t="s">
        <v>1189</v>
      </c>
      <c r="C26" s="2733">
        <v>42870</v>
      </c>
      <c r="D26" s="2734" t="s">
        <v>5162</v>
      </c>
      <c r="E26" s="2735" t="s">
        <v>5161</v>
      </c>
      <c r="F26" s="2736" t="s">
        <v>5163</v>
      </c>
    </row>
    <row r="27" spans="2:6" ht="51.75" thickBot="1">
      <c r="B27" s="2737" t="s">
        <v>1189</v>
      </c>
      <c r="C27" s="2738">
        <v>42621</v>
      </c>
      <c r="D27" s="2739" t="s">
        <v>5162</v>
      </c>
      <c r="E27" s="2740" t="s">
        <v>5161</v>
      </c>
      <c r="F27" s="2741" t="s">
        <v>5163</v>
      </c>
    </row>
    <row r="28" spans="2:6" ht="26.25" thickTop="1">
      <c r="B28" s="2700" t="s">
        <v>4302</v>
      </c>
      <c r="C28" s="2733">
        <v>42750</v>
      </c>
      <c r="D28" s="2747" t="s">
        <v>5185</v>
      </c>
      <c r="E28" s="2735" t="s">
        <v>5161</v>
      </c>
      <c r="F28" s="2749" t="s">
        <v>5206</v>
      </c>
    </row>
    <row r="29" spans="2:6" ht="51.75" thickBot="1">
      <c r="B29" s="2737" t="s">
        <v>4302</v>
      </c>
      <c r="C29" s="2738">
        <v>42410</v>
      </c>
      <c r="D29" s="2739" t="s">
        <v>5162</v>
      </c>
      <c r="E29" s="2740" t="s">
        <v>5161</v>
      </c>
      <c r="F29" s="2741" t="s">
        <v>5163</v>
      </c>
    </row>
    <row r="30" spans="2:6" ht="39" thickTop="1">
      <c r="B30" s="2700" t="s">
        <v>4905</v>
      </c>
      <c r="C30" s="2733">
        <v>42804</v>
      </c>
      <c r="D30" s="2747" t="s">
        <v>5181</v>
      </c>
      <c r="E30" s="2735" t="s">
        <v>5161</v>
      </c>
      <c r="F30" s="2748" t="s">
        <v>5184</v>
      </c>
    </row>
    <row r="31" spans="2:6" ht="51">
      <c r="B31" s="2722" t="s">
        <v>4905</v>
      </c>
      <c r="C31" s="2701">
        <v>42807</v>
      </c>
      <c r="D31" s="2728" t="s">
        <v>5162</v>
      </c>
      <c r="E31" s="2697" t="s">
        <v>5161</v>
      </c>
      <c r="F31" s="2705" t="s">
        <v>5163</v>
      </c>
    </row>
    <row r="32" spans="2:6" ht="51.75" thickBot="1">
      <c r="B32" s="2737" t="s">
        <v>4905</v>
      </c>
      <c r="C32" s="2738">
        <v>42503</v>
      </c>
      <c r="D32" s="2739" t="s">
        <v>5162</v>
      </c>
      <c r="E32" s="2740" t="s">
        <v>5161</v>
      </c>
      <c r="F32" s="2741" t="s">
        <v>5163</v>
      </c>
    </row>
    <row r="33" spans="2:7" ht="39" thickTop="1">
      <c r="B33" s="738" t="s">
        <v>1907</v>
      </c>
      <c r="C33" s="2733">
        <v>42754</v>
      </c>
      <c r="D33" s="2747" t="s">
        <v>5181</v>
      </c>
      <c r="E33" s="2735" t="s">
        <v>5161</v>
      </c>
      <c r="F33" s="2748" t="s">
        <v>5183</v>
      </c>
    </row>
    <row r="34" spans="2:7" ht="51">
      <c r="B34" s="2722" t="s">
        <v>1907</v>
      </c>
      <c r="C34" s="2701">
        <v>42838</v>
      </c>
      <c r="D34" s="2728" t="s">
        <v>5162</v>
      </c>
      <c r="E34" s="2697" t="s">
        <v>5161</v>
      </c>
      <c r="F34" s="2705" t="s">
        <v>5163</v>
      </c>
    </row>
    <row r="35" spans="2:7" ht="51.75" thickBot="1">
      <c r="B35" s="2737" t="s">
        <v>1907</v>
      </c>
      <c r="C35" s="2738">
        <v>42416</v>
      </c>
      <c r="D35" s="2739" t="s">
        <v>5162</v>
      </c>
      <c r="E35" s="2740" t="s">
        <v>5161</v>
      </c>
      <c r="F35" s="2741" t="s">
        <v>5163</v>
      </c>
    </row>
    <row r="36" spans="2:7" ht="39" thickTop="1">
      <c r="B36" s="738" t="s">
        <v>1437</v>
      </c>
      <c r="C36" s="2733">
        <v>42737</v>
      </c>
      <c r="D36" s="2747" t="s">
        <v>5181</v>
      </c>
      <c r="E36" s="2735" t="s">
        <v>5161</v>
      </c>
      <c r="F36" s="2748" t="s">
        <v>5211</v>
      </c>
    </row>
    <row r="37" spans="2:7" ht="51.75" thickBot="1">
      <c r="B37" s="2737" t="s">
        <v>1437</v>
      </c>
      <c r="C37" s="2738">
        <v>42490</v>
      </c>
      <c r="D37" s="2739" t="s">
        <v>5162</v>
      </c>
      <c r="E37" s="2740" t="s">
        <v>5161</v>
      </c>
      <c r="F37" s="2741" t="s">
        <v>5163</v>
      </c>
    </row>
    <row r="38" spans="2:7" ht="26.25" thickTop="1">
      <c r="B38" s="738" t="s">
        <v>1145</v>
      </c>
      <c r="C38" s="2733">
        <v>43006</v>
      </c>
      <c r="D38" s="2747" t="s">
        <v>5210</v>
      </c>
      <c r="E38" s="2735" t="s">
        <v>5161</v>
      </c>
      <c r="F38" s="2748" t="s">
        <v>5208</v>
      </c>
    </row>
    <row r="39" spans="2:7" ht="51.75" thickBot="1">
      <c r="B39" s="2737" t="s">
        <v>1145</v>
      </c>
      <c r="C39" s="2738">
        <v>42585</v>
      </c>
      <c r="D39" s="2739" t="s">
        <v>5162</v>
      </c>
      <c r="E39" s="2740" t="s">
        <v>5161</v>
      </c>
      <c r="F39" s="2741" t="s">
        <v>5163</v>
      </c>
    </row>
    <row r="40" spans="2:7" ht="52.5" thickTop="1" thickBot="1">
      <c r="B40" s="2742" t="s">
        <v>1133</v>
      </c>
      <c r="C40" s="2743">
        <v>42885</v>
      </c>
      <c r="D40" s="2744" t="s">
        <v>5162</v>
      </c>
      <c r="E40" s="2745" t="s">
        <v>5161</v>
      </c>
      <c r="F40" s="2746" t="s">
        <v>5163</v>
      </c>
      <c r="G40" s="2106" t="s">
        <v>5212</v>
      </c>
    </row>
    <row r="41" spans="2:7" ht="51.75" thickTop="1">
      <c r="B41" s="2700" t="s">
        <v>1146</v>
      </c>
      <c r="C41" s="2733">
        <v>42919</v>
      </c>
      <c r="D41" s="2734" t="s">
        <v>5162</v>
      </c>
      <c r="E41" s="2735" t="s">
        <v>5161</v>
      </c>
      <c r="F41" s="2736" t="s">
        <v>5163</v>
      </c>
    </row>
    <row r="42" spans="2:7" ht="51.75" thickBot="1">
      <c r="B42" s="2737" t="s">
        <v>1146</v>
      </c>
      <c r="C42" s="2738">
        <v>42555</v>
      </c>
      <c r="D42" s="2739" t="s">
        <v>5162</v>
      </c>
      <c r="E42" s="2740" t="s">
        <v>5161</v>
      </c>
      <c r="F42" s="2741" t="s">
        <v>5163</v>
      </c>
    </row>
    <row r="43" spans="2:7" ht="51.75" thickTop="1">
      <c r="B43" s="2700" t="s">
        <v>4138</v>
      </c>
      <c r="C43" s="2733">
        <v>42984</v>
      </c>
      <c r="D43" s="2734" t="s">
        <v>5162</v>
      </c>
      <c r="E43" s="2735" t="s">
        <v>5161</v>
      </c>
      <c r="F43" s="2736" t="s">
        <v>5163</v>
      </c>
    </row>
    <row r="44" spans="2:7" ht="51.75" thickBot="1">
      <c r="B44" s="2737" t="s">
        <v>4138</v>
      </c>
      <c r="C44" s="2738">
        <v>42409</v>
      </c>
      <c r="D44" s="2739" t="s">
        <v>5162</v>
      </c>
      <c r="E44" s="2740" t="s">
        <v>5161</v>
      </c>
      <c r="F44" s="2741" t="s">
        <v>5163</v>
      </c>
    </row>
    <row r="45" spans="2:7" ht="39" thickTop="1">
      <c r="B45" s="2700" t="s">
        <v>1147</v>
      </c>
      <c r="C45" s="2733">
        <v>43011</v>
      </c>
      <c r="D45" s="2747" t="s">
        <v>5181</v>
      </c>
      <c r="E45" s="2735" t="s">
        <v>5161</v>
      </c>
      <c r="F45" s="2748" t="s">
        <v>5201</v>
      </c>
    </row>
    <row r="46" spans="2:7" ht="51.75" thickBot="1">
      <c r="B46" s="2737" t="s">
        <v>1147</v>
      </c>
      <c r="C46" s="2738">
        <v>42416</v>
      </c>
      <c r="D46" s="2739" t="s">
        <v>5162</v>
      </c>
      <c r="E46" s="2740" t="s">
        <v>5161</v>
      </c>
      <c r="F46" s="2741" t="s">
        <v>5163</v>
      </c>
    </row>
    <row r="47" spans="2:7" ht="51.75" thickTop="1">
      <c r="B47" s="738" t="s">
        <v>4487</v>
      </c>
      <c r="C47" s="2733">
        <v>43008</v>
      </c>
      <c r="D47" s="2734" t="s">
        <v>5162</v>
      </c>
      <c r="E47" s="2735" t="s">
        <v>5161</v>
      </c>
      <c r="F47" s="2736" t="s">
        <v>5163</v>
      </c>
    </row>
    <row r="48" spans="2:7" ht="38.25">
      <c r="B48" s="2699" t="s">
        <v>4487</v>
      </c>
      <c r="C48" s="2701">
        <v>42934</v>
      </c>
      <c r="D48" s="2727" t="s">
        <v>5181</v>
      </c>
      <c r="E48" s="2697" t="s">
        <v>5161</v>
      </c>
      <c r="F48" s="2713" t="s">
        <v>5205</v>
      </c>
    </row>
    <row r="49" spans="2:7" ht="25.5">
      <c r="B49" s="2722" t="s">
        <v>4487</v>
      </c>
      <c r="C49" s="2701">
        <v>43008</v>
      </c>
      <c r="D49" s="2727" t="s">
        <v>5185</v>
      </c>
      <c r="E49" s="2697" t="s">
        <v>5161</v>
      </c>
      <c r="F49" s="2715" t="s">
        <v>5206</v>
      </c>
    </row>
    <row r="50" spans="2:7" ht="51.75" thickBot="1">
      <c r="B50" s="2737" t="s">
        <v>4487</v>
      </c>
      <c r="C50" s="2738">
        <v>42557</v>
      </c>
      <c r="D50" s="2739" t="s">
        <v>5162</v>
      </c>
      <c r="E50" s="2740" t="s">
        <v>5161</v>
      </c>
      <c r="F50" s="2741" t="s">
        <v>5163</v>
      </c>
    </row>
    <row r="51" spans="2:7" ht="51.75" thickTop="1">
      <c r="B51" s="738" t="s">
        <v>1436</v>
      </c>
      <c r="C51" s="2733">
        <v>42992</v>
      </c>
      <c r="D51" s="2734" t="s">
        <v>5162</v>
      </c>
      <c r="E51" s="2735" t="s">
        <v>5161</v>
      </c>
      <c r="F51" s="2736" t="s">
        <v>5163</v>
      </c>
    </row>
    <row r="52" spans="2:7" ht="38.25">
      <c r="B52" s="2722" t="s">
        <v>1436</v>
      </c>
      <c r="C52" s="2701">
        <v>42735</v>
      </c>
      <c r="D52" s="2727" t="s">
        <v>5181</v>
      </c>
      <c r="E52" s="2697" t="s">
        <v>5161</v>
      </c>
      <c r="F52" s="2713" t="s">
        <v>5207</v>
      </c>
    </row>
    <row r="53" spans="2:7" ht="51.75" thickBot="1">
      <c r="B53" s="2737" t="s">
        <v>1436</v>
      </c>
      <c r="C53" s="2738">
        <v>42408</v>
      </c>
      <c r="D53" s="2739" t="s">
        <v>5162</v>
      </c>
      <c r="E53" s="2740" t="s">
        <v>5161</v>
      </c>
      <c r="F53" s="2741" t="s">
        <v>5163</v>
      </c>
    </row>
    <row r="54" spans="2:7" ht="51.75" thickTop="1">
      <c r="B54" s="738" t="s">
        <v>1434</v>
      </c>
      <c r="C54" s="2733">
        <v>42914</v>
      </c>
      <c r="D54" s="2734" t="s">
        <v>5162</v>
      </c>
      <c r="E54" s="2735" t="s">
        <v>5161</v>
      </c>
      <c r="F54" s="2736" t="s">
        <v>5163</v>
      </c>
    </row>
    <row r="55" spans="2:7" ht="51.75" thickBot="1">
      <c r="B55" s="2737" t="s">
        <v>1434</v>
      </c>
      <c r="C55" s="2738">
        <v>42627</v>
      </c>
      <c r="D55" s="2739" t="s">
        <v>5162</v>
      </c>
      <c r="E55" s="2740" t="s">
        <v>5161</v>
      </c>
      <c r="F55" s="2741" t="s">
        <v>5163</v>
      </c>
    </row>
    <row r="56" spans="2:7" ht="51.75" thickTop="1">
      <c r="B56" s="738" t="s">
        <v>1320</v>
      </c>
      <c r="C56" s="2733">
        <v>42738</v>
      </c>
      <c r="D56" s="2734" t="s">
        <v>5162</v>
      </c>
      <c r="E56" s="2735" t="s">
        <v>5161</v>
      </c>
      <c r="F56" s="2736" t="s">
        <v>5163</v>
      </c>
    </row>
    <row r="57" spans="2:7" ht="51.75" thickBot="1">
      <c r="B57" s="2737" t="s">
        <v>1320</v>
      </c>
      <c r="C57" s="2738">
        <v>42410</v>
      </c>
      <c r="D57" s="2739" t="s">
        <v>5162</v>
      </c>
      <c r="E57" s="2740" t="s">
        <v>5161</v>
      </c>
      <c r="F57" s="2741" t="s">
        <v>5163</v>
      </c>
    </row>
    <row r="58" spans="2:7" ht="52.5" thickTop="1" thickBot="1">
      <c r="B58" s="2742" t="s">
        <v>1447</v>
      </c>
      <c r="C58" s="2743">
        <v>42625</v>
      </c>
      <c r="D58" s="2744" t="s">
        <v>5162</v>
      </c>
      <c r="E58" s="2745" t="s">
        <v>5161</v>
      </c>
      <c r="F58" s="2746" t="s">
        <v>5163</v>
      </c>
      <c r="G58" s="2106" t="s">
        <v>5213</v>
      </c>
    </row>
    <row r="59" spans="2:7" ht="51.75" thickTop="1">
      <c r="B59" s="738" t="s">
        <v>1446</v>
      </c>
      <c r="C59" s="2733">
        <v>42817</v>
      </c>
      <c r="D59" s="2734" t="s">
        <v>5162</v>
      </c>
      <c r="E59" s="2735" t="s">
        <v>5161</v>
      </c>
      <c r="F59" s="2736" t="s">
        <v>5163</v>
      </c>
    </row>
    <row r="60" spans="2:7" ht="51.75" thickBot="1">
      <c r="B60" s="2737" t="s">
        <v>1446</v>
      </c>
      <c r="C60" s="2738">
        <v>42445</v>
      </c>
      <c r="D60" s="2739" t="s">
        <v>5162</v>
      </c>
      <c r="E60" s="2740" t="s">
        <v>5161</v>
      </c>
      <c r="F60" s="2741" t="s">
        <v>5163</v>
      </c>
    </row>
    <row r="61" spans="2:7" ht="51.75" thickTop="1">
      <c r="B61" s="738" t="s">
        <v>4034</v>
      </c>
      <c r="C61" s="2733">
        <v>42909</v>
      </c>
      <c r="D61" s="2734" t="s">
        <v>5162</v>
      </c>
      <c r="E61" s="2735" t="s">
        <v>5161</v>
      </c>
      <c r="F61" s="2736" t="s">
        <v>5163</v>
      </c>
    </row>
    <row r="62" spans="2:7" ht="51.75" thickBot="1">
      <c r="B62" s="2737" t="s">
        <v>4034</v>
      </c>
      <c r="C62" s="2738">
        <v>42409</v>
      </c>
      <c r="D62" s="2739" t="s">
        <v>5162</v>
      </c>
      <c r="E62" s="2740" t="s">
        <v>5161</v>
      </c>
      <c r="F62" s="2741" t="s">
        <v>5163</v>
      </c>
    </row>
    <row r="63" spans="2:7" ht="51.75" thickTop="1">
      <c r="B63" s="738" t="s">
        <v>1445</v>
      </c>
      <c r="C63" s="2733">
        <v>42749</v>
      </c>
      <c r="D63" s="2734" t="s">
        <v>5162</v>
      </c>
      <c r="E63" s="2735" t="s">
        <v>5161</v>
      </c>
      <c r="F63" s="2736" t="s">
        <v>5163</v>
      </c>
    </row>
    <row r="64" spans="2:7" ht="51.75" thickBot="1">
      <c r="B64" s="2737" t="s">
        <v>1445</v>
      </c>
      <c r="C64" s="2738">
        <v>42399</v>
      </c>
      <c r="D64" s="2739" t="s">
        <v>5162</v>
      </c>
      <c r="E64" s="2740" t="s">
        <v>5161</v>
      </c>
      <c r="F64" s="2741" t="s">
        <v>5163</v>
      </c>
    </row>
    <row r="65" spans="2:6" ht="51.75" thickTop="1">
      <c r="B65" s="738" t="s">
        <v>2172</v>
      </c>
      <c r="C65" s="2733">
        <v>42987</v>
      </c>
      <c r="D65" s="2734" t="s">
        <v>5162</v>
      </c>
      <c r="E65" s="2735" t="s">
        <v>5161</v>
      </c>
      <c r="F65" s="2736" t="s">
        <v>5163</v>
      </c>
    </row>
    <row r="66" spans="2:6" ht="25.5">
      <c r="B66" s="2722" t="s">
        <v>2172</v>
      </c>
      <c r="C66" s="2701">
        <v>42657</v>
      </c>
      <c r="D66" s="2727" t="s">
        <v>5185</v>
      </c>
      <c r="E66" s="2697" t="s">
        <v>5161</v>
      </c>
      <c r="F66" s="2715" t="s">
        <v>5206</v>
      </c>
    </row>
    <row r="67" spans="2:6" ht="51">
      <c r="B67" s="2722" t="s">
        <v>2172</v>
      </c>
      <c r="C67" s="2701">
        <v>42535</v>
      </c>
      <c r="D67" s="2728" t="s">
        <v>5162</v>
      </c>
      <c r="E67" s="2697" t="s">
        <v>5161</v>
      </c>
      <c r="F67" s="2705" t="s">
        <v>5163</v>
      </c>
    </row>
    <row r="68" spans="2:6">
      <c r="D68" s="2396"/>
    </row>
    <row r="84" spans="2:6" ht="33">
      <c r="B84" s="2722" t="s">
        <v>5058</v>
      </c>
      <c r="C84" s="2701">
        <v>42921</v>
      </c>
      <c r="D84" s="2712" t="s">
        <v>5185</v>
      </c>
      <c r="E84" s="2697" t="s">
        <v>5161</v>
      </c>
      <c r="F84" s="2713" t="s">
        <v>5195</v>
      </c>
    </row>
    <row r="85" spans="2:6" ht="33">
      <c r="B85" s="2722" t="s">
        <v>1445</v>
      </c>
      <c r="C85" s="2701">
        <v>42921</v>
      </c>
      <c r="D85" s="2712" t="s">
        <v>5185</v>
      </c>
      <c r="E85" s="2697" t="s">
        <v>5161</v>
      </c>
      <c r="F85" s="2713" t="s">
        <v>5196</v>
      </c>
    </row>
    <row r="86" spans="2:6" ht="33">
      <c r="B86" s="2722" t="s">
        <v>4302</v>
      </c>
      <c r="C86" s="2701">
        <v>42920</v>
      </c>
      <c r="D86" s="2712" t="s">
        <v>5185</v>
      </c>
      <c r="E86" s="2697" t="s">
        <v>5161</v>
      </c>
      <c r="F86" s="2713" t="s">
        <v>5199</v>
      </c>
    </row>
    <row r="88" spans="2:6" ht="33">
      <c r="B88" s="2722" t="s">
        <v>1136</v>
      </c>
      <c r="C88" s="2701">
        <v>42921</v>
      </c>
      <c r="D88" s="2712" t="s">
        <v>5185</v>
      </c>
      <c r="E88" s="2697" t="s">
        <v>5161</v>
      </c>
      <c r="F88" s="2713" t="s">
        <v>5197</v>
      </c>
    </row>
    <row r="89" spans="2:6" ht="33">
      <c r="B89" s="2722" t="s">
        <v>2817</v>
      </c>
      <c r="C89" s="2701">
        <v>42921</v>
      </c>
      <c r="D89" s="2712" t="s">
        <v>5185</v>
      </c>
      <c r="E89" s="2697" t="s">
        <v>5161</v>
      </c>
      <c r="F89" s="2713" t="s">
        <v>5198</v>
      </c>
    </row>
    <row r="90" spans="2:6" ht="33">
      <c r="B90" s="2722" t="s">
        <v>2818</v>
      </c>
      <c r="C90" s="2701">
        <v>42920</v>
      </c>
      <c r="D90" s="2712" t="s">
        <v>5185</v>
      </c>
      <c r="E90" s="2697" t="s">
        <v>5161</v>
      </c>
      <c r="F90" s="2713" t="s">
        <v>5200</v>
      </c>
    </row>
  </sheetData>
  <sortState ref="B16:F19">
    <sortCondition descending="1" ref="C7:C10"/>
  </sortState>
  <mergeCells count="1">
    <mergeCell ref="D3:F4"/>
  </mergeCells>
  <pageMargins left="0.7" right="0.7" top="0.75" bottom="0.75" header="0.3" footer="0.3"/>
  <pageSetup orientation="portrait" horizontalDpi="120" verticalDpi="72" r:id="rId1"/>
  <drawing r:id="rId2"/>
</worksheet>
</file>

<file path=xl/worksheets/sheet6.xml><?xml version="1.0" encoding="utf-8"?>
<worksheet xmlns="http://schemas.openxmlformats.org/spreadsheetml/2006/main" xmlns:r="http://schemas.openxmlformats.org/officeDocument/2006/relationships">
  <sheetPr codeName="Hoja6">
    <pageSetUpPr fitToPage="1"/>
  </sheetPr>
  <dimension ref="B1:BA53"/>
  <sheetViews>
    <sheetView workbookViewId="0">
      <selection activeCell="AX22" sqref="AX22"/>
    </sheetView>
  </sheetViews>
  <sheetFormatPr baseColWidth="10" defaultRowHeight="12.75" outlineLevelCol="1"/>
  <cols>
    <col min="1" max="1" width="3.7109375" customWidth="1"/>
    <col min="2" max="2" width="10.7109375" customWidth="1"/>
    <col min="3" max="3" width="13.7109375" customWidth="1"/>
    <col min="4" max="13" width="10.7109375" hidden="1" customWidth="1" outlineLevel="1"/>
    <col min="14" max="14" width="10.7109375" hidden="1" customWidth="1" outlineLevel="1" collapsed="1"/>
    <col min="15" max="19" width="10.7109375" hidden="1" customWidth="1" outlineLevel="1"/>
    <col min="20" max="20" width="10.7109375" hidden="1" customWidth="1" outlineLevel="1" collapsed="1"/>
    <col min="21" max="27" width="10.7109375" hidden="1" customWidth="1" outlineLevel="1"/>
    <col min="28" max="28" width="10.7109375" hidden="1" customWidth="1" outlineLevel="1" collapsed="1"/>
    <col min="29" max="32" width="10.7109375" hidden="1" customWidth="1" outlineLevel="1"/>
    <col min="33" max="33" width="10.7109375" hidden="1" customWidth="1" outlineLevel="1" collapsed="1"/>
    <col min="34" max="35" width="10.7109375" hidden="1" customWidth="1" outlineLevel="1"/>
    <col min="36" max="36" width="10.7109375" hidden="1" customWidth="1" outlineLevel="1" collapsed="1"/>
    <col min="37" max="40" width="10.7109375" hidden="1" customWidth="1" outlineLevel="1"/>
    <col min="41" max="41" width="10.7109375" customWidth="1" collapsed="1"/>
    <col min="42" max="153" width="10.7109375" customWidth="1"/>
  </cols>
  <sheetData>
    <row r="1" spans="2:53" ht="13.5" thickBot="1"/>
    <row r="2" spans="2:53" s="2546" customFormat="1" ht="15">
      <c r="B2" s="3765" t="s">
        <v>5078</v>
      </c>
      <c r="C2" s="2606" t="s">
        <v>5074</v>
      </c>
      <c r="D2" s="2596" t="s">
        <v>5072</v>
      </c>
      <c r="E2" s="2602" t="s">
        <v>5073</v>
      </c>
      <c r="F2" s="2596" t="s">
        <v>5082</v>
      </c>
      <c r="G2" s="2591" t="s">
        <v>5073</v>
      </c>
      <c r="H2" s="2545" t="s">
        <v>5073</v>
      </c>
      <c r="I2" s="2545" t="s">
        <v>5073</v>
      </c>
      <c r="J2" s="2587" t="s">
        <v>5073</v>
      </c>
      <c r="K2" s="2596" t="s">
        <v>5114</v>
      </c>
      <c r="L2" s="2591" t="s">
        <v>5073</v>
      </c>
      <c r="M2" s="2587" t="s">
        <v>5073</v>
      </c>
      <c r="N2" s="2596" t="s">
        <v>5093</v>
      </c>
      <c r="O2" s="2591" t="s">
        <v>5073</v>
      </c>
      <c r="P2" s="2545" t="s">
        <v>5073</v>
      </c>
      <c r="Q2" s="2949" t="s">
        <v>5073</v>
      </c>
      <c r="R2" s="2949" t="s">
        <v>5073</v>
      </c>
      <c r="S2" s="3038" t="s">
        <v>5073</v>
      </c>
      <c r="T2" s="2596" t="s">
        <v>5093</v>
      </c>
      <c r="U2" s="3038" t="s">
        <v>5073</v>
      </c>
      <c r="V2" s="3134" t="s">
        <v>5073</v>
      </c>
      <c r="W2" s="3134" t="s">
        <v>5073</v>
      </c>
      <c r="X2" s="3134" t="s">
        <v>5073</v>
      </c>
      <c r="Y2" s="2596" t="s">
        <v>5438</v>
      </c>
      <c r="Z2" s="3134" t="s">
        <v>5073</v>
      </c>
      <c r="AA2" s="3134" t="s">
        <v>5073</v>
      </c>
      <c r="AB2" s="2596" t="s">
        <v>5109</v>
      </c>
      <c r="AC2" s="3134" t="s">
        <v>5073</v>
      </c>
      <c r="AD2" s="2596" t="s">
        <v>5109</v>
      </c>
      <c r="AE2" s="3134" t="s">
        <v>5073</v>
      </c>
      <c r="AF2" s="2596" t="s">
        <v>5109</v>
      </c>
      <c r="AG2" s="3134" t="s">
        <v>5073</v>
      </c>
      <c r="AH2" s="3134" t="s">
        <v>5073</v>
      </c>
      <c r="AI2" s="2596" t="s">
        <v>5093</v>
      </c>
      <c r="AJ2" s="3134" t="s">
        <v>5073</v>
      </c>
      <c r="AK2" s="3134" t="s">
        <v>5073</v>
      </c>
      <c r="AL2" s="3134" t="s">
        <v>5073</v>
      </c>
      <c r="AM2" s="2596" t="s">
        <v>5109</v>
      </c>
      <c r="AN2" s="3134" t="s">
        <v>5073</v>
      </c>
      <c r="AO2" s="3134" t="s">
        <v>5073</v>
      </c>
      <c r="AP2" s="3134" t="s">
        <v>5073</v>
      </c>
      <c r="AQ2" s="3134" t="s">
        <v>5073</v>
      </c>
      <c r="AR2" s="3134" t="s">
        <v>5073</v>
      </c>
      <c r="AS2" s="3134" t="s">
        <v>5073</v>
      </c>
      <c r="AT2" s="2596" t="s">
        <v>5109</v>
      </c>
      <c r="AU2" s="3134" t="s">
        <v>5073</v>
      </c>
      <c r="AV2" s="3134" t="s">
        <v>5073</v>
      </c>
      <c r="AW2" s="3707" t="s">
        <v>5073</v>
      </c>
      <c r="AX2" s="3707" t="s">
        <v>5073</v>
      </c>
      <c r="AY2" s="3705"/>
      <c r="AZ2" s="3705"/>
      <c r="BA2" s="3343"/>
    </row>
    <row r="3" spans="2:53">
      <c r="B3" s="3766"/>
      <c r="C3" s="2946" t="s">
        <v>762</v>
      </c>
      <c r="D3" s="2597">
        <v>42859</v>
      </c>
      <c r="E3" s="2603">
        <v>42899</v>
      </c>
      <c r="F3" s="2597">
        <v>42909</v>
      </c>
      <c r="G3" s="2592">
        <v>42962</v>
      </c>
      <c r="H3" s="2585">
        <v>42970</v>
      </c>
      <c r="I3" s="2585">
        <v>42983</v>
      </c>
      <c r="J3" s="2588">
        <v>42992</v>
      </c>
      <c r="K3" s="2597">
        <v>42996</v>
      </c>
      <c r="L3" s="2592">
        <v>43020</v>
      </c>
      <c r="M3" s="2588">
        <v>43028</v>
      </c>
      <c r="N3" s="2597">
        <v>43059</v>
      </c>
      <c r="O3" s="2592">
        <v>43076</v>
      </c>
      <c r="P3" s="2585">
        <v>43087</v>
      </c>
      <c r="Q3" s="3045">
        <v>43102</v>
      </c>
      <c r="R3" s="3045">
        <v>43116</v>
      </c>
      <c r="S3" s="3046">
        <v>43131</v>
      </c>
      <c r="T3" s="3044">
        <v>43143</v>
      </c>
      <c r="U3" s="3046">
        <v>43171</v>
      </c>
      <c r="V3" s="3135">
        <v>43180</v>
      </c>
      <c r="W3" s="3135">
        <v>43192</v>
      </c>
      <c r="X3" s="3135">
        <v>43199</v>
      </c>
      <c r="Y3" s="3044">
        <v>43211</v>
      </c>
      <c r="Z3" s="3135">
        <v>43220</v>
      </c>
      <c r="AA3" s="3135">
        <v>43277</v>
      </c>
      <c r="AB3" s="3195">
        <v>43294</v>
      </c>
      <c r="AC3" s="3135">
        <v>43311</v>
      </c>
      <c r="AD3" s="3195">
        <v>43370</v>
      </c>
      <c r="AE3" s="3135">
        <v>43417</v>
      </c>
      <c r="AF3" s="3195">
        <v>43441</v>
      </c>
      <c r="AG3" s="3135">
        <v>43474</v>
      </c>
      <c r="AH3" s="3135">
        <v>43491</v>
      </c>
      <c r="AI3" s="3044">
        <v>43529</v>
      </c>
      <c r="AJ3" s="3135">
        <v>43579</v>
      </c>
      <c r="AK3" s="3135">
        <v>43579</v>
      </c>
      <c r="AL3" s="3135">
        <v>43591</v>
      </c>
      <c r="AM3" s="3400">
        <v>43620</v>
      </c>
      <c r="AN3" s="3135">
        <v>43642</v>
      </c>
      <c r="AO3" s="3135">
        <v>43661</v>
      </c>
      <c r="AP3" s="3135">
        <v>43696</v>
      </c>
      <c r="AQ3" s="3135">
        <v>43710</v>
      </c>
      <c r="AR3" s="3135">
        <v>43745</v>
      </c>
      <c r="AS3" s="3135">
        <v>43780</v>
      </c>
      <c r="AT3" s="3195">
        <v>43782</v>
      </c>
      <c r="AU3" s="3135">
        <v>43808</v>
      </c>
      <c r="AV3" s="3135">
        <v>43826</v>
      </c>
      <c r="AW3" s="3708">
        <v>43850</v>
      </c>
      <c r="AX3" s="3708">
        <v>43875</v>
      </c>
      <c r="AY3" s="3706"/>
      <c r="AZ3" s="3706"/>
      <c r="BA3" s="3344"/>
    </row>
    <row r="4" spans="2:53">
      <c r="B4" s="3767"/>
      <c r="C4" s="2947" t="s">
        <v>5068</v>
      </c>
      <c r="D4" s="2598">
        <v>18487</v>
      </c>
      <c r="E4" s="2604">
        <v>21122</v>
      </c>
      <c r="F4" s="2598">
        <v>21985</v>
      </c>
      <c r="G4" s="2593">
        <v>25049</v>
      </c>
      <c r="H4" s="2538">
        <v>26085</v>
      </c>
      <c r="I4" s="2538">
        <v>27048</v>
      </c>
      <c r="J4" s="2589">
        <v>27646</v>
      </c>
      <c r="K4" s="2598">
        <v>27684</v>
      </c>
      <c r="L4" s="2593">
        <v>30393</v>
      </c>
      <c r="M4" s="2589">
        <v>30765</v>
      </c>
      <c r="N4" s="2598">
        <v>33151</v>
      </c>
      <c r="O4" s="2593">
        <v>33979</v>
      </c>
      <c r="P4" s="2538">
        <v>35241</v>
      </c>
      <c r="Q4" s="2950">
        <v>36419</v>
      </c>
      <c r="R4" s="2950">
        <v>37176</v>
      </c>
      <c r="S4" s="3039">
        <v>38011</v>
      </c>
      <c r="T4" s="2598">
        <v>39222</v>
      </c>
      <c r="U4" s="3039">
        <v>41458</v>
      </c>
      <c r="V4" s="3136">
        <v>42090</v>
      </c>
      <c r="W4" s="3136">
        <v>43268</v>
      </c>
      <c r="X4" s="3136">
        <v>43771</v>
      </c>
      <c r="Y4" s="2598">
        <v>44451</v>
      </c>
      <c r="Z4" s="3136">
        <v>45862</v>
      </c>
      <c r="AA4" s="3136">
        <v>49257</v>
      </c>
      <c r="AB4" s="3196">
        <v>50297</v>
      </c>
      <c r="AC4" s="3136">
        <v>51238</v>
      </c>
      <c r="AD4" s="3196">
        <v>55991</v>
      </c>
      <c r="AE4" s="3136">
        <v>59215</v>
      </c>
      <c r="AF4" s="3196">
        <v>60851</v>
      </c>
      <c r="AG4" s="3136">
        <v>62720</v>
      </c>
      <c r="AH4" s="3136">
        <v>64010</v>
      </c>
      <c r="AI4" s="2598">
        <v>67155</v>
      </c>
      <c r="AJ4" s="3136">
        <v>69478</v>
      </c>
      <c r="AK4" s="3136">
        <v>69478</v>
      </c>
      <c r="AL4" s="3136">
        <v>70157</v>
      </c>
      <c r="AM4" s="3196">
        <v>72764</v>
      </c>
      <c r="AN4" s="3136">
        <v>73976</v>
      </c>
      <c r="AO4" s="3136">
        <v>74430</v>
      </c>
      <c r="AP4" s="3136">
        <v>75712</v>
      </c>
      <c r="AQ4" s="3136">
        <v>76271</v>
      </c>
      <c r="AR4" s="3136">
        <v>78345</v>
      </c>
      <c r="AS4" s="3136">
        <v>78849</v>
      </c>
      <c r="AT4" s="3196">
        <v>78861</v>
      </c>
      <c r="AU4" s="3136">
        <v>80690</v>
      </c>
      <c r="AV4" s="3136">
        <v>81112</v>
      </c>
      <c r="AW4" s="3709">
        <v>81112</v>
      </c>
      <c r="AX4" s="3709">
        <v>81696</v>
      </c>
      <c r="AY4" s="3703"/>
      <c r="AZ4" s="3703"/>
      <c r="BA4" s="3345"/>
    </row>
    <row r="5" spans="2:53">
      <c r="B5" s="3767"/>
      <c r="C5" s="2947" t="s">
        <v>5069</v>
      </c>
      <c r="D5" s="2599">
        <v>1319</v>
      </c>
      <c r="E5" s="2604">
        <v>1530</v>
      </c>
      <c r="F5" s="2599">
        <v>1597</v>
      </c>
      <c r="G5" s="2593">
        <v>1803</v>
      </c>
      <c r="H5" s="2538">
        <v>1876</v>
      </c>
      <c r="I5" s="2538">
        <v>1958</v>
      </c>
      <c r="J5" s="2589">
        <v>1996</v>
      </c>
      <c r="K5" s="2599">
        <v>1999</v>
      </c>
      <c r="L5" s="2593">
        <v>2189</v>
      </c>
      <c r="M5" s="2589">
        <v>2212</v>
      </c>
      <c r="N5" s="2599">
        <v>2384</v>
      </c>
      <c r="O5" s="2593">
        <v>2439</v>
      </c>
      <c r="P5" s="2538">
        <v>2539</v>
      </c>
      <c r="Q5" s="2950">
        <v>2620</v>
      </c>
      <c r="R5" s="2950">
        <v>2669</v>
      </c>
      <c r="S5" s="3039">
        <v>2730</v>
      </c>
      <c r="T5" s="2621">
        <v>2836</v>
      </c>
      <c r="U5" s="3039">
        <v>3010</v>
      </c>
      <c r="V5" s="3136">
        <v>3053</v>
      </c>
      <c r="W5" s="3136">
        <v>3150</v>
      </c>
      <c r="X5" s="3136">
        <v>3184</v>
      </c>
      <c r="Y5" s="2621">
        <v>3279</v>
      </c>
      <c r="Z5" s="3136">
        <v>3354</v>
      </c>
      <c r="AA5" s="3136">
        <v>3628</v>
      </c>
      <c r="AB5" s="3196">
        <v>3708</v>
      </c>
      <c r="AC5" s="3136">
        <v>3774</v>
      </c>
      <c r="AD5" s="3196">
        <v>4114</v>
      </c>
      <c r="AE5" s="3136">
        <v>4436</v>
      </c>
      <c r="AF5" s="3196">
        <v>4572</v>
      </c>
      <c r="AG5" s="3136">
        <v>4723</v>
      </c>
      <c r="AH5" s="3136">
        <v>4818</v>
      </c>
      <c r="AI5" s="2621">
        <v>5056</v>
      </c>
      <c r="AJ5" s="3136">
        <v>5231</v>
      </c>
      <c r="AK5" s="3136">
        <v>5231</v>
      </c>
      <c r="AL5" s="3136">
        <v>5277</v>
      </c>
      <c r="AM5" s="3196">
        <v>5470</v>
      </c>
      <c r="AN5" s="3136">
        <v>5562</v>
      </c>
      <c r="AO5" s="3136">
        <v>5594</v>
      </c>
      <c r="AP5" s="3136">
        <v>5684</v>
      </c>
      <c r="AQ5" s="3136">
        <v>5725</v>
      </c>
      <c r="AR5" s="3136">
        <v>5872</v>
      </c>
      <c r="AS5" s="3136">
        <v>5914</v>
      </c>
      <c r="AT5" s="3196">
        <v>5915</v>
      </c>
      <c r="AU5" s="3136">
        <v>6039</v>
      </c>
      <c r="AV5" s="3136">
        <v>6075</v>
      </c>
      <c r="AW5" s="3709">
        <v>6075</v>
      </c>
      <c r="AX5" s="3709">
        <v>6128</v>
      </c>
      <c r="AY5" s="3703"/>
      <c r="AZ5" s="3703"/>
      <c r="BA5" s="3345"/>
    </row>
    <row r="6" spans="2:53">
      <c r="B6" s="3767"/>
      <c r="C6" s="2947" t="s">
        <v>5070</v>
      </c>
      <c r="D6" s="2598"/>
      <c r="E6" s="2604">
        <f>+E4-D4</f>
        <v>2635</v>
      </c>
      <c r="F6" s="2598">
        <f>+F4-D4</f>
        <v>3498</v>
      </c>
      <c r="G6" s="2593">
        <f>+G4-$F$4</f>
        <v>3064</v>
      </c>
      <c r="H6" s="2538">
        <f>+H4-$F$4</f>
        <v>4100</v>
      </c>
      <c r="I6" s="2538">
        <f>+I4-$F$4</f>
        <v>5063</v>
      </c>
      <c r="J6" s="2589">
        <f>+J4-$F$4</f>
        <v>5661</v>
      </c>
      <c r="K6" s="2598">
        <f>+K4-F4</f>
        <v>5699</v>
      </c>
      <c r="L6" s="2593">
        <f>+L4-$K$4</f>
        <v>2709</v>
      </c>
      <c r="M6" s="2589">
        <f>+M4-$K$4</f>
        <v>3081</v>
      </c>
      <c r="N6" s="2598">
        <f>+N4-$K$4</f>
        <v>5467</v>
      </c>
      <c r="O6" s="2593">
        <f t="shared" ref="O6:T6" si="0">+O4-$N$4</f>
        <v>828</v>
      </c>
      <c r="P6" s="2538">
        <f t="shared" si="0"/>
        <v>2090</v>
      </c>
      <c r="Q6" s="2950">
        <f t="shared" si="0"/>
        <v>3268</v>
      </c>
      <c r="R6" s="2950">
        <f t="shared" si="0"/>
        <v>4025</v>
      </c>
      <c r="S6" s="3039">
        <f t="shared" si="0"/>
        <v>4860</v>
      </c>
      <c r="T6" s="2598">
        <f t="shared" si="0"/>
        <v>6071</v>
      </c>
      <c r="U6" s="3039">
        <f>+U4-$T$4</f>
        <v>2236</v>
      </c>
      <c r="V6" s="3136">
        <f>+V4-$T$4</f>
        <v>2868</v>
      </c>
      <c r="W6" s="3136">
        <f>+W4-$T$4</f>
        <v>4046</v>
      </c>
      <c r="X6" s="3136">
        <f>+X4-$T$4</f>
        <v>4549</v>
      </c>
      <c r="Y6" s="2598">
        <f>+Y4-$T$4</f>
        <v>5229</v>
      </c>
      <c r="Z6" s="3136">
        <f>+Z4-$Y$4</f>
        <v>1411</v>
      </c>
      <c r="AA6" s="3136">
        <f>+AA4-$Y$4</f>
        <v>4806</v>
      </c>
      <c r="AB6" s="3196">
        <f>+AB4-$Y$4</f>
        <v>5846</v>
      </c>
      <c r="AC6" s="3136">
        <f>+AC4-$AB$4</f>
        <v>941</v>
      </c>
      <c r="AD6" s="3196">
        <f>+AD4-$AB$4</f>
        <v>5694</v>
      </c>
      <c r="AE6" s="3136">
        <f>+AE4-$AD$4</f>
        <v>3224</v>
      </c>
      <c r="AF6" s="3196">
        <f>+AF4-$AD$4</f>
        <v>4860</v>
      </c>
      <c r="AG6" s="3136">
        <f>+AG4-$AF$4</f>
        <v>1869</v>
      </c>
      <c r="AH6" s="3136">
        <f>+AH4-$AF$4</f>
        <v>3159</v>
      </c>
      <c r="AI6" s="2598">
        <f>+AI4-$AF$4</f>
        <v>6304</v>
      </c>
      <c r="AJ6" s="3136">
        <f>+AJ4-$AI$4</f>
        <v>2323</v>
      </c>
      <c r="AK6" s="3136">
        <f>+AK4-$AI$4</f>
        <v>2323</v>
      </c>
      <c r="AL6" s="3136">
        <f>+AL4-$AI$4</f>
        <v>3002</v>
      </c>
      <c r="AM6" s="3196">
        <f>+AM4-$AI$4</f>
        <v>5609</v>
      </c>
      <c r="AN6" s="3136">
        <f t="shared" ref="AN6:AS6" si="1">+AN4-$AM$4</f>
        <v>1212</v>
      </c>
      <c r="AO6" s="3136">
        <f t="shared" si="1"/>
        <v>1666</v>
      </c>
      <c r="AP6" s="3136">
        <f t="shared" si="1"/>
        <v>2948</v>
      </c>
      <c r="AQ6" s="3136">
        <f t="shared" si="1"/>
        <v>3507</v>
      </c>
      <c r="AR6" s="3136">
        <f t="shared" si="1"/>
        <v>5581</v>
      </c>
      <c r="AS6" s="3136">
        <f t="shared" si="1"/>
        <v>6085</v>
      </c>
      <c r="AT6" s="3196">
        <f t="shared" ref="AT6" si="2">+AT4-$AM$4</f>
        <v>6097</v>
      </c>
      <c r="AU6" s="3136">
        <f>+AU4-$AT$4</f>
        <v>1829</v>
      </c>
      <c r="AV6" s="3136">
        <f>+AV4-$AT$4</f>
        <v>2251</v>
      </c>
      <c r="AW6" s="3709">
        <f>+AW4-$AT$4</f>
        <v>2251</v>
      </c>
      <c r="AX6" s="3709">
        <f>+AX4-$AT$4</f>
        <v>2835</v>
      </c>
      <c r="AY6" s="3703"/>
      <c r="AZ6" s="3703"/>
      <c r="BA6" s="3345"/>
    </row>
    <row r="7" spans="2:53" ht="13.5" thickBot="1">
      <c r="B7" s="3768"/>
      <c r="C7" s="2948" t="s">
        <v>5071</v>
      </c>
      <c r="D7" s="2600"/>
      <c r="E7" s="2605">
        <f>+E5-D5</f>
        <v>211</v>
      </c>
      <c r="F7" s="2600">
        <f>+F5-D5</f>
        <v>278</v>
      </c>
      <c r="G7" s="2594">
        <f>+G5-$F$5</f>
        <v>206</v>
      </c>
      <c r="H7" s="2539">
        <f>+H5-$F$5</f>
        <v>279</v>
      </c>
      <c r="I7" s="2601">
        <f>+I5-$F$5</f>
        <v>361</v>
      </c>
      <c r="J7" s="3041">
        <f>+J5-$F$5</f>
        <v>399</v>
      </c>
      <c r="K7" s="2600">
        <f>+K5-F5</f>
        <v>402</v>
      </c>
      <c r="L7" s="3042">
        <f>+L5-$K$5</f>
        <v>190</v>
      </c>
      <c r="M7" s="3041">
        <f>+M5-$K$5</f>
        <v>213</v>
      </c>
      <c r="N7" s="2600">
        <f>+N5-$K$5</f>
        <v>385</v>
      </c>
      <c r="O7" s="3042">
        <f t="shared" ref="O7:T7" si="3">+O5-$N$5</f>
        <v>55</v>
      </c>
      <c r="P7" s="2601">
        <f t="shared" si="3"/>
        <v>155</v>
      </c>
      <c r="Q7" s="2951">
        <f t="shared" si="3"/>
        <v>236</v>
      </c>
      <c r="R7" s="2951">
        <f t="shared" si="3"/>
        <v>285</v>
      </c>
      <c r="S7" s="3040">
        <f t="shared" si="3"/>
        <v>346</v>
      </c>
      <c r="T7" s="2600">
        <f t="shared" si="3"/>
        <v>452</v>
      </c>
      <c r="U7" s="3133">
        <f>+U5-$T$5</f>
        <v>174</v>
      </c>
      <c r="V7" s="3137">
        <f>+V5-$T$5</f>
        <v>217</v>
      </c>
      <c r="W7" s="3137">
        <f>+W5-$T$5</f>
        <v>314</v>
      </c>
      <c r="X7" s="3137">
        <f>+X5-$T$5</f>
        <v>348</v>
      </c>
      <c r="Y7" s="2600">
        <f>+Y5-$T$5</f>
        <v>443</v>
      </c>
      <c r="Z7" s="3137">
        <f>+Z5-$Y$5</f>
        <v>75</v>
      </c>
      <c r="AA7" s="3137">
        <f>+AA5-$Y$5</f>
        <v>349</v>
      </c>
      <c r="AB7" s="3197">
        <f>+AB5-$Y$5</f>
        <v>429</v>
      </c>
      <c r="AC7" s="3137">
        <f>+AC5-$AB$5</f>
        <v>66</v>
      </c>
      <c r="AD7" s="3197">
        <f>+AD5-$AB$5</f>
        <v>406</v>
      </c>
      <c r="AE7" s="3137">
        <f>+AE5-$AD$5</f>
        <v>322</v>
      </c>
      <c r="AF7" s="3197">
        <f>+AF5-$AD$5</f>
        <v>458</v>
      </c>
      <c r="AG7" s="3137">
        <f>+AG5-$AF$5</f>
        <v>151</v>
      </c>
      <c r="AH7" s="3137">
        <f>+AH5-$AF$5</f>
        <v>246</v>
      </c>
      <c r="AI7" s="2600">
        <f>+AI5-$AF$5</f>
        <v>484</v>
      </c>
      <c r="AJ7" s="3137">
        <f>+AJ5-$AI$5</f>
        <v>175</v>
      </c>
      <c r="AK7" s="3137">
        <f>+AK5-$AI$5</f>
        <v>175</v>
      </c>
      <c r="AL7" s="3137">
        <f>+AL5-$AI$5</f>
        <v>221</v>
      </c>
      <c r="AM7" s="3197">
        <f>+AM5-$AI$5</f>
        <v>414</v>
      </c>
      <c r="AN7" s="3137">
        <f t="shared" ref="AN7:AS7" si="4">+AN5-$AM$5</f>
        <v>92</v>
      </c>
      <c r="AO7" s="3137">
        <f t="shared" si="4"/>
        <v>124</v>
      </c>
      <c r="AP7" s="3137">
        <f t="shared" si="4"/>
        <v>214</v>
      </c>
      <c r="AQ7" s="3137">
        <f t="shared" si="4"/>
        <v>255</v>
      </c>
      <c r="AR7" s="3137">
        <f t="shared" si="4"/>
        <v>402</v>
      </c>
      <c r="AS7" s="3137">
        <f t="shared" si="4"/>
        <v>444</v>
      </c>
      <c r="AT7" s="3197">
        <f t="shared" ref="AT7" si="5">+AT5-$AM$5</f>
        <v>445</v>
      </c>
      <c r="AU7" s="3137">
        <f>+AU5-$AT$5</f>
        <v>124</v>
      </c>
      <c r="AV7" s="3137">
        <f>+AV5-$AT$5</f>
        <v>160</v>
      </c>
      <c r="AW7" s="3710">
        <f>+AW5-$AT$5</f>
        <v>160</v>
      </c>
      <c r="AX7" s="3710">
        <f>+AX5-$AT$5</f>
        <v>213</v>
      </c>
      <c r="AY7" s="3704"/>
      <c r="AZ7" s="3704"/>
      <c r="BA7" s="3346"/>
    </row>
    <row r="8" spans="2:53" s="2546" customFormat="1" ht="12.75" customHeight="1">
      <c r="B8" s="3765" t="s">
        <v>5079</v>
      </c>
      <c r="C8" s="2606" t="s">
        <v>5075</v>
      </c>
      <c r="D8" s="2596" t="s">
        <v>5093</v>
      </c>
      <c r="E8" s="2591" t="s">
        <v>5073</v>
      </c>
      <c r="F8" s="2595" t="s">
        <v>5073</v>
      </c>
      <c r="G8" s="2545" t="s">
        <v>5073</v>
      </c>
      <c r="H8" s="2587" t="s">
        <v>5073</v>
      </c>
      <c r="I8" s="2596" t="s">
        <v>5109</v>
      </c>
      <c r="J8" s="2591" t="s">
        <v>5073</v>
      </c>
      <c r="K8" s="2595" t="s">
        <v>5073</v>
      </c>
      <c r="L8" s="2545" t="s">
        <v>5073</v>
      </c>
      <c r="M8" s="2545" t="s">
        <v>5073</v>
      </c>
      <c r="N8" s="2595" t="s">
        <v>5073</v>
      </c>
      <c r="O8" s="2545" t="s">
        <v>5073</v>
      </c>
      <c r="P8" s="2545" t="s">
        <v>5073</v>
      </c>
      <c r="Q8" s="2949" t="s">
        <v>5073</v>
      </c>
      <c r="R8" s="2949" t="s">
        <v>5073</v>
      </c>
      <c r="S8" s="2949" t="s">
        <v>5073</v>
      </c>
      <c r="T8" s="3043" t="s">
        <v>5073</v>
      </c>
      <c r="U8" s="3043" t="s">
        <v>5073</v>
      </c>
      <c r="V8" s="3043" t="s">
        <v>5073</v>
      </c>
      <c r="W8" s="3043" t="s">
        <v>5073</v>
      </c>
      <c r="X8" s="3043" t="s">
        <v>5073</v>
      </c>
      <c r="Y8" s="3043" t="s">
        <v>5073</v>
      </c>
      <c r="Z8" s="3134" t="s">
        <v>5073</v>
      </c>
      <c r="AA8" s="3343" t="s">
        <v>5073</v>
      </c>
      <c r="AB8" s="2596" t="s">
        <v>5109</v>
      </c>
      <c r="AC8" s="3134" t="s">
        <v>5073</v>
      </c>
      <c r="AD8" s="3134" t="s">
        <v>5073</v>
      </c>
      <c r="AE8" s="3134" t="s">
        <v>5073</v>
      </c>
      <c r="AF8" s="3134" t="s">
        <v>5073</v>
      </c>
      <c r="AG8" s="3134" t="s">
        <v>5073</v>
      </c>
      <c r="AH8" s="3134" t="s">
        <v>5073</v>
      </c>
      <c r="AI8" s="3134" t="s">
        <v>5073</v>
      </c>
      <c r="AJ8" s="3134" t="s">
        <v>5073</v>
      </c>
      <c r="AK8" s="3134" t="s">
        <v>5073</v>
      </c>
      <c r="AL8" s="3168" t="s">
        <v>5439</v>
      </c>
      <c r="AM8" s="3134" t="s">
        <v>5073</v>
      </c>
      <c r="AN8" s="3134" t="s">
        <v>5073</v>
      </c>
      <c r="AO8" s="3134" t="s">
        <v>5073</v>
      </c>
      <c r="AP8" s="3134" t="s">
        <v>5073</v>
      </c>
      <c r="AQ8" s="3134" t="s">
        <v>5073</v>
      </c>
      <c r="AR8" s="3134" t="s">
        <v>5073</v>
      </c>
      <c r="AS8" s="3134" t="s">
        <v>5073</v>
      </c>
      <c r="AT8" s="3168" t="s">
        <v>5439</v>
      </c>
      <c r="AU8" s="3134" t="s">
        <v>5073</v>
      </c>
      <c r="AV8" s="3134" t="s">
        <v>5073</v>
      </c>
      <c r="AW8" s="3707" t="s">
        <v>5073</v>
      </c>
      <c r="AX8" s="3707" t="s">
        <v>5073</v>
      </c>
      <c r="AY8" s="3705"/>
      <c r="AZ8" s="3705"/>
      <c r="BA8" s="3343"/>
    </row>
    <row r="9" spans="2:53" ht="12.75" customHeight="1">
      <c r="B9" s="3766"/>
      <c r="C9" s="2946" t="s">
        <v>762</v>
      </c>
      <c r="D9" s="2597">
        <v>42811</v>
      </c>
      <c r="E9" s="2592">
        <v>42858</v>
      </c>
      <c r="F9" s="2585">
        <v>42899</v>
      </c>
      <c r="G9" s="2585">
        <v>42961</v>
      </c>
      <c r="H9" s="2588">
        <v>42970</v>
      </c>
      <c r="I9" s="2597">
        <v>42985</v>
      </c>
      <c r="J9" s="2592">
        <v>42992</v>
      </c>
      <c r="K9" s="2585">
        <v>43018</v>
      </c>
      <c r="L9" s="2585">
        <v>43028</v>
      </c>
      <c r="M9" s="2585">
        <v>43053</v>
      </c>
      <c r="N9" s="2585">
        <v>43060</v>
      </c>
      <c r="O9" s="2585">
        <v>43075</v>
      </c>
      <c r="P9" s="2585">
        <v>43087</v>
      </c>
      <c r="Q9" s="3045">
        <v>43102</v>
      </c>
      <c r="R9" s="3045">
        <v>43116</v>
      </c>
      <c r="S9" s="3045">
        <v>43131</v>
      </c>
      <c r="T9" s="3045">
        <v>43144</v>
      </c>
      <c r="U9" s="3045">
        <v>43171</v>
      </c>
      <c r="V9" s="3045">
        <v>43180</v>
      </c>
      <c r="W9" s="3045">
        <v>43192</v>
      </c>
      <c r="X9" s="3045">
        <v>43199</v>
      </c>
      <c r="Y9" s="3045">
        <v>43220</v>
      </c>
      <c r="Z9" s="3135">
        <v>43220</v>
      </c>
      <c r="AA9" s="3344">
        <v>43277</v>
      </c>
      <c r="AB9" s="3195">
        <v>43295</v>
      </c>
      <c r="AC9" s="3135">
        <v>43311</v>
      </c>
      <c r="AD9" s="3135">
        <v>43397</v>
      </c>
      <c r="AE9" s="3135">
        <v>43417</v>
      </c>
      <c r="AF9" s="3135">
        <v>43439</v>
      </c>
      <c r="AG9" s="3135">
        <v>43474</v>
      </c>
      <c r="AH9" s="3135">
        <v>43491</v>
      </c>
      <c r="AI9" s="3135">
        <v>43535</v>
      </c>
      <c r="AJ9" s="3135">
        <v>43553</v>
      </c>
      <c r="AK9" s="3135">
        <v>43579</v>
      </c>
      <c r="AL9" s="3401">
        <v>43591</v>
      </c>
      <c r="AM9" s="3135">
        <v>43621</v>
      </c>
      <c r="AN9" s="3135">
        <v>43642</v>
      </c>
      <c r="AO9" s="3135">
        <v>43661</v>
      </c>
      <c r="AP9" s="3135">
        <v>43696</v>
      </c>
      <c r="AQ9" s="3135">
        <v>43710</v>
      </c>
      <c r="AR9" s="3135">
        <v>43745</v>
      </c>
      <c r="AS9" s="3135">
        <v>43780</v>
      </c>
      <c r="AT9" s="3195">
        <v>43782</v>
      </c>
      <c r="AU9" s="3135">
        <v>43808</v>
      </c>
      <c r="AV9" s="3135">
        <v>43826</v>
      </c>
      <c r="AW9" s="3708">
        <v>43850</v>
      </c>
      <c r="AX9" s="3708">
        <v>43875</v>
      </c>
      <c r="AY9" s="3706"/>
      <c r="AZ9" s="3706"/>
      <c r="BA9" s="3344"/>
    </row>
    <row r="10" spans="2:53">
      <c r="B10" s="3767"/>
      <c r="C10" s="2946" t="s">
        <v>5068</v>
      </c>
      <c r="D10" s="2598">
        <v>176061</v>
      </c>
      <c r="E10" s="2593">
        <v>176943</v>
      </c>
      <c r="F10" s="2538">
        <v>177632</v>
      </c>
      <c r="G10" s="2538">
        <v>179266</v>
      </c>
      <c r="H10" s="2589">
        <v>179975</v>
      </c>
      <c r="I10" s="2598">
        <v>180718</v>
      </c>
      <c r="J10" s="2593">
        <v>180750</v>
      </c>
      <c r="K10" s="2538">
        <v>182063</v>
      </c>
      <c r="L10" s="2538">
        <v>182063</v>
      </c>
      <c r="M10" s="2538">
        <v>183027</v>
      </c>
      <c r="N10" s="2538">
        <v>183467</v>
      </c>
      <c r="O10" s="2538">
        <v>183467</v>
      </c>
      <c r="P10" s="2538">
        <v>184083</v>
      </c>
      <c r="Q10" s="2950">
        <v>184598</v>
      </c>
      <c r="R10" s="2950">
        <v>184598</v>
      </c>
      <c r="S10" s="2950">
        <v>184989</v>
      </c>
      <c r="T10" s="2950">
        <v>185771</v>
      </c>
      <c r="U10" s="2950">
        <v>186287</v>
      </c>
      <c r="V10" s="2950">
        <v>186767</v>
      </c>
      <c r="W10" s="2950">
        <v>187488</v>
      </c>
      <c r="X10" s="2950">
        <v>187515</v>
      </c>
      <c r="Y10" s="2950">
        <v>188740</v>
      </c>
      <c r="Z10" s="3136">
        <v>188740</v>
      </c>
      <c r="AA10" s="3345">
        <v>189664</v>
      </c>
      <c r="AB10" s="3170">
        <v>189984</v>
      </c>
      <c r="AC10" s="2950">
        <v>190587</v>
      </c>
      <c r="AD10" s="2950">
        <v>193826</v>
      </c>
      <c r="AE10" s="2950">
        <v>194451</v>
      </c>
      <c r="AF10" s="2950">
        <v>195002</v>
      </c>
      <c r="AG10" s="2950">
        <v>195498</v>
      </c>
      <c r="AH10" s="2950">
        <v>196023</v>
      </c>
      <c r="AI10" s="2950">
        <v>197970</v>
      </c>
      <c r="AJ10" s="3136">
        <v>198252</v>
      </c>
      <c r="AK10" s="2950">
        <v>198548</v>
      </c>
      <c r="AL10" s="3170">
        <v>198985</v>
      </c>
      <c r="AM10" s="2950">
        <v>200625</v>
      </c>
      <c r="AN10" s="2950">
        <v>201020</v>
      </c>
      <c r="AO10" s="2950">
        <v>201679</v>
      </c>
      <c r="AP10" s="2950">
        <v>203328</v>
      </c>
      <c r="AQ10" s="2950">
        <v>204168</v>
      </c>
      <c r="AR10" s="2950">
        <v>205489</v>
      </c>
      <c r="AS10" s="2950">
        <v>207231</v>
      </c>
      <c r="AT10" s="3170">
        <v>207281</v>
      </c>
      <c r="AU10" s="3136">
        <v>209057</v>
      </c>
      <c r="AV10" s="3136">
        <v>209523</v>
      </c>
      <c r="AW10" s="3709">
        <v>209523</v>
      </c>
      <c r="AX10" s="3709">
        <v>210108</v>
      </c>
      <c r="AY10" s="3703"/>
      <c r="AZ10" s="3703"/>
      <c r="BA10" s="3345"/>
    </row>
    <row r="11" spans="2:53">
      <c r="B11" s="3767"/>
      <c r="C11" s="2946" t="s">
        <v>5069</v>
      </c>
      <c r="D11" s="2599">
        <v>14767</v>
      </c>
      <c r="E11" s="2593">
        <v>14859</v>
      </c>
      <c r="F11" s="2538">
        <v>14931</v>
      </c>
      <c r="G11" s="2538">
        <v>15084</v>
      </c>
      <c r="H11" s="2589">
        <v>15136</v>
      </c>
      <c r="I11" s="2599">
        <f>+H11*I10/H10</f>
        <v>15198.486723155995</v>
      </c>
      <c r="J11" s="2593">
        <v>15210</v>
      </c>
      <c r="K11" s="2538">
        <v>15319</v>
      </c>
      <c r="L11" s="2538">
        <v>15319</v>
      </c>
      <c r="M11" s="2538">
        <v>15398</v>
      </c>
      <c r="N11" s="2538">
        <v>15428</v>
      </c>
      <c r="O11" s="2538">
        <v>15429</v>
      </c>
      <c r="P11" s="2538">
        <v>15472</v>
      </c>
      <c r="Q11" s="2950">
        <v>15506</v>
      </c>
      <c r="R11" s="2950">
        <v>15506</v>
      </c>
      <c r="S11" s="2950">
        <v>15536</v>
      </c>
      <c r="T11" s="2950">
        <v>15600</v>
      </c>
      <c r="U11" s="2950">
        <v>15640</v>
      </c>
      <c r="V11" s="2950">
        <v>15677</v>
      </c>
      <c r="W11" s="2950">
        <v>15736</v>
      </c>
      <c r="X11" s="2950">
        <v>15738</v>
      </c>
      <c r="Y11" s="2950">
        <v>15846</v>
      </c>
      <c r="Z11" s="3136">
        <v>15846</v>
      </c>
      <c r="AA11" s="3345">
        <v>15937</v>
      </c>
      <c r="AB11" s="3170">
        <v>15968</v>
      </c>
      <c r="AC11" s="2950">
        <v>16008</v>
      </c>
      <c r="AD11" s="2950">
        <v>16287</v>
      </c>
      <c r="AE11" s="2950">
        <v>16354</v>
      </c>
      <c r="AF11" s="2950">
        <v>16405</v>
      </c>
      <c r="AG11" s="2950">
        <v>16455</v>
      </c>
      <c r="AH11" s="2950">
        <v>16507</v>
      </c>
      <c r="AI11" s="2950">
        <v>16669</v>
      </c>
      <c r="AJ11" s="3136">
        <v>16699</v>
      </c>
      <c r="AK11" s="2950">
        <v>16732</v>
      </c>
      <c r="AL11" s="3170">
        <v>16770</v>
      </c>
      <c r="AM11" s="2950">
        <v>16914</v>
      </c>
      <c r="AN11" s="2950">
        <v>16958</v>
      </c>
      <c r="AO11" s="2950">
        <v>17016</v>
      </c>
      <c r="AP11" s="2950">
        <v>17138</v>
      </c>
      <c r="AQ11" s="2950">
        <f>+AQ10*AP11/AP10</f>
        <v>17208.801463644948</v>
      </c>
      <c r="AR11" s="2950">
        <v>17324</v>
      </c>
      <c r="AS11" s="2950">
        <v>17462</v>
      </c>
      <c r="AT11" s="3170">
        <v>17467</v>
      </c>
      <c r="AU11" s="3136">
        <v>17595</v>
      </c>
      <c r="AV11" s="3136">
        <v>17631</v>
      </c>
      <c r="AW11" s="3709">
        <v>17631</v>
      </c>
      <c r="AX11" s="3709">
        <v>17670</v>
      </c>
      <c r="AY11" s="3703"/>
      <c r="AZ11" s="3703"/>
      <c r="BA11" s="3345"/>
    </row>
    <row r="12" spans="2:53">
      <c r="B12" s="3767"/>
      <c r="C12" s="2947" t="s">
        <v>5070</v>
      </c>
      <c r="D12" s="2598"/>
      <c r="E12" s="2593">
        <f>+E10-$D$10</f>
        <v>882</v>
      </c>
      <c r="F12" s="2538">
        <f>+F10-$D$10</f>
        <v>1571</v>
      </c>
      <c r="G12" s="2538">
        <f>+G10-$D$10</f>
        <v>3205</v>
      </c>
      <c r="H12" s="2589">
        <f>+H10-$D$10</f>
        <v>3914</v>
      </c>
      <c r="I12" s="2598">
        <f>+I10-$D$10</f>
        <v>4657</v>
      </c>
      <c r="J12" s="2593">
        <f t="shared" ref="J12:O12" si="6">+J10-$I$10</f>
        <v>32</v>
      </c>
      <c r="K12" s="2538">
        <f t="shared" si="6"/>
        <v>1345</v>
      </c>
      <c r="L12" s="2538">
        <f t="shared" si="6"/>
        <v>1345</v>
      </c>
      <c r="M12" s="2538">
        <f t="shared" si="6"/>
        <v>2309</v>
      </c>
      <c r="N12" s="2538">
        <f t="shared" si="6"/>
        <v>2749</v>
      </c>
      <c r="O12" s="2538">
        <f t="shared" si="6"/>
        <v>2749</v>
      </c>
      <c r="P12" s="2538">
        <f t="shared" ref="P12:V12" si="7">+P10-$I$10</f>
        <v>3365</v>
      </c>
      <c r="Q12" s="2950">
        <f t="shared" si="7"/>
        <v>3880</v>
      </c>
      <c r="R12" s="2950">
        <f t="shared" si="7"/>
        <v>3880</v>
      </c>
      <c r="S12" s="2950">
        <f t="shared" si="7"/>
        <v>4271</v>
      </c>
      <c r="T12" s="2950">
        <f t="shared" si="7"/>
        <v>5053</v>
      </c>
      <c r="U12" s="2950">
        <f t="shared" si="7"/>
        <v>5569</v>
      </c>
      <c r="V12" s="2950">
        <f t="shared" si="7"/>
        <v>6049</v>
      </c>
      <c r="W12" s="2950">
        <f t="shared" ref="W12:AB12" si="8">+W10-$I$10</f>
        <v>6770</v>
      </c>
      <c r="X12" s="2950">
        <f t="shared" si="8"/>
        <v>6797</v>
      </c>
      <c r="Y12" s="2950">
        <f t="shared" si="8"/>
        <v>8022</v>
      </c>
      <c r="Z12" s="3136">
        <f t="shared" si="8"/>
        <v>8022</v>
      </c>
      <c r="AA12" s="3345">
        <f t="shared" si="8"/>
        <v>8946</v>
      </c>
      <c r="AB12" s="3170">
        <f t="shared" si="8"/>
        <v>9266</v>
      </c>
      <c r="AC12" s="3136">
        <f t="shared" ref="AC12:AH12" si="9">+AC10-$AB$10</f>
        <v>603</v>
      </c>
      <c r="AD12" s="3136">
        <f t="shared" si="9"/>
        <v>3842</v>
      </c>
      <c r="AE12" s="3136">
        <f t="shared" si="9"/>
        <v>4467</v>
      </c>
      <c r="AF12" s="3136">
        <f t="shared" si="9"/>
        <v>5018</v>
      </c>
      <c r="AG12" s="3136">
        <f t="shared" si="9"/>
        <v>5514</v>
      </c>
      <c r="AH12" s="3136">
        <f t="shared" si="9"/>
        <v>6039</v>
      </c>
      <c r="AI12" s="3136">
        <f>+AI10-$AB$10</f>
        <v>7986</v>
      </c>
      <c r="AJ12" s="3136">
        <f>+AJ10-$AB$10</f>
        <v>8268</v>
      </c>
      <c r="AK12" s="3136">
        <f>+AK10-$AB$10</f>
        <v>8564</v>
      </c>
      <c r="AL12" s="3170">
        <f>+AL10-$AB$10</f>
        <v>9001</v>
      </c>
      <c r="AM12" s="3136">
        <f t="shared" ref="AM12:AR12" si="10">+AM10-$AL$10</f>
        <v>1640</v>
      </c>
      <c r="AN12" s="3136">
        <f t="shared" si="10"/>
        <v>2035</v>
      </c>
      <c r="AO12" s="3136">
        <f t="shared" si="10"/>
        <v>2694</v>
      </c>
      <c r="AP12" s="3136">
        <f t="shared" si="10"/>
        <v>4343</v>
      </c>
      <c r="AQ12" s="3136">
        <f t="shared" si="10"/>
        <v>5183</v>
      </c>
      <c r="AR12" s="3136">
        <f t="shared" si="10"/>
        <v>6504</v>
      </c>
      <c r="AS12" s="3136">
        <f t="shared" ref="AS12:AT12" si="11">+AS10-$AL$10</f>
        <v>8246</v>
      </c>
      <c r="AT12" s="3196">
        <f t="shared" si="11"/>
        <v>8296</v>
      </c>
      <c r="AU12" s="3136">
        <f>+AU10-$AT$10</f>
        <v>1776</v>
      </c>
      <c r="AV12" s="3136">
        <f>+AV10-$AT$10</f>
        <v>2242</v>
      </c>
      <c r="AW12" s="3709">
        <f>+AW10-$AT$10</f>
        <v>2242</v>
      </c>
      <c r="AX12" s="3709">
        <f>+AX10-$AT$10</f>
        <v>2827</v>
      </c>
      <c r="AY12" s="3703"/>
      <c r="AZ12" s="3703"/>
      <c r="BA12" s="3345"/>
    </row>
    <row r="13" spans="2:53" ht="13.5" thickBot="1">
      <c r="B13" s="3768"/>
      <c r="C13" s="2948" t="s">
        <v>5071</v>
      </c>
      <c r="D13" s="2600"/>
      <c r="E13" s="2594">
        <f>+E11-$D$11</f>
        <v>92</v>
      </c>
      <c r="F13" s="2601">
        <f>+F11-$D$11</f>
        <v>164</v>
      </c>
      <c r="G13" s="2539">
        <f>+G11-$D$11</f>
        <v>317</v>
      </c>
      <c r="H13" s="2590">
        <f>+H11-$D$11</f>
        <v>369</v>
      </c>
      <c r="I13" s="2600">
        <f>+I11-$D$11</f>
        <v>431.4867231559947</v>
      </c>
      <c r="J13" s="2594">
        <f t="shared" ref="J13:O13" si="12">+J11-$I$11</f>
        <v>11.513276844005304</v>
      </c>
      <c r="K13" s="2539">
        <f t="shared" si="12"/>
        <v>120.5132768440053</v>
      </c>
      <c r="L13" s="2539">
        <f t="shared" si="12"/>
        <v>120.5132768440053</v>
      </c>
      <c r="M13" s="2539">
        <f t="shared" si="12"/>
        <v>199.5132768440053</v>
      </c>
      <c r="N13" s="2539">
        <f t="shared" si="12"/>
        <v>229.5132768440053</v>
      </c>
      <c r="O13" s="2539">
        <f t="shared" si="12"/>
        <v>230.5132768440053</v>
      </c>
      <c r="P13" s="2539">
        <f t="shared" ref="P13:V13" si="13">+P11-$I$11</f>
        <v>273.5132768440053</v>
      </c>
      <c r="Q13" s="2952">
        <f t="shared" si="13"/>
        <v>307.5132768440053</v>
      </c>
      <c r="R13" s="2952">
        <f t="shared" si="13"/>
        <v>307.5132768440053</v>
      </c>
      <c r="S13" s="2952">
        <f t="shared" si="13"/>
        <v>337.5132768440053</v>
      </c>
      <c r="T13" s="2952">
        <f t="shared" si="13"/>
        <v>401.5132768440053</v>
      </c>
      <c r="U13" s="2952">
        <f t="shared" si="13"/>
        <v>441.5132768440053</v>
      </c>
      <c r="V13" s="2952">
        <f t="shared" si="13"/>
        <v>478.5132768440053</v>
      </c>
      <c r="W13" s="2952">
        <f t="shared" ref="W13:AB13" si="14">+W11-$I$11</f>
        <v>537.5132768440053</v>
      </c>
      <c r="X13" s="2952">
        <f t="shared" si="14"/>
        <v>539.5132768440053</v>
      </c>
      <c r="Y13" s="2952">
        <f t="shared" si="14"/>
        <v>647.5132768440053</v>
      </c>
      <c r="Z13" s="3137">
        <f t="shared" si="14"/>
        <v>647.5132768440053</v>
      </c>
      <c r="AA13" s="3346">
        <f t="shared" si="14"/>
        <v>738.5132768440053</v>
      </c>
      <c r="AB13" s="3171">
        <f t="shared" si="14"/>
        <v>769.5132768440053</v>
      </c>
      <c r="AC13" s="3137">
        <f t="shared" ref="AC13:AH13" si="15">+AC11-$AB$11</f>
        <v>40</v>
      </c>
      <c r="AD13" s="3137">
        <f t="shared" si="15"/>
        <v>319</v>
      </c>
      <c r="AE13" s="3137">
        <f t="shared" si="15"/>
        <v>386</v>
      </c>
      <c r="AF13" s="3137">
        <f t="shared" si="15"/>
        <v>437</v>
      </c>
      <c r="AG13" s="3137">
        <f t="shared" si="15"/>
        <v>487</v>
      </c>
      <c r="AH13" s="3137">
        <f t="shared" si="15"/>
        <v>539</v>
      </c>
      <c r="AI13" s="3137">
        <f>+AI11-$AB$11</f>
        <v>701</v>
      </c>
      <c r="AJ13" s="3137">
        <f>+AJ11-$AB$11</f>
        <v>731</v>
      </c>
      <c r="AK13" s="3137">
        <f>+AK11-$AB$11</f>
        <v>764</v>
      </c>
      <c r="AL13" s="3171">
        <f>+AL11-$AB$11</f>
        <v>802</v>
      </c>
      <c r="AM13" s="3137">
        <f t="shared" ref="AM13:AR13" si="16">+AM11-$AL$11</f>
        <v>144</v>
      </c>
      <c r="AN13" s="3137">
        <f t="shared" si="16"/>
        <v>188</v>
      </c>
      <c r="AO13" s="3137">
        <f t="shared" si="16"/>
        <v>246</v>
      </c>
      <c r="AP13" s="3137">
        <f t="shared" si="16"/>
        <v>368</v>
      </c>
      <c r="AQ13" s="3137">
        <f t="shared" si="16"/>
        <v>438.80146364494794</v>
      </c>
      <c r="AR13" s="3137">
        <f t="shared" si="16"/>
        <v>554</v>
      </c>
      <c r="AS13" s="3137">
        <f t="shared" ref="AS13:AT13" si="17">+AS11-$AL$11</f>
        <v>692</v>
      </c>
      <c r="AT13" s="3197">
        <f t="shared" si="17"/>
        <v>697</v>
      </c>
      <c r="AU13" s="3137">
        <f>+AU11-$AT$11</f>
        <v>128</v>
      </c>
      <c r="AV13" s="3137">
        <f>+AV11-$AT$11</f>
        <v>164</v>
      </c>
      <c r="AW13" s="3710">
        <f>+AW11-$AT$11</f>
        <v>164</v>
      </c>
      <c r="AX13" s="3710">
        <f>+AX11-$AT$11</f>
        <v>203</v>
      </c>
      <c r="AY13" s="3704"/>
      <c r="AZ13" s="3704"/>
      <c r="BA13" s="3346"/>
    </row>
    <row r="14" spans="2:53" s="2546" customFormat="1" ht="15">
      <c r="B14" s="3765" t="s">
        <v>5080</v>
      </c>
      <c r="C14" s="3462" t="s">
        <v>5076</v>
      </c>
      <c r="D14" s="3461" t="s">
        <v>5073</v>
      </c>
      <c r="E14" s="2587" t="s">
        <v>5073</v>
      </c>
      <c r="F14" s="2596" t="s">
        <v>5092</v>
      </c>
      <c r="G14" s="2591" t="s">
        <v>5073</v>
      </c>
      <c r="H14" s="2545" t="s">
        <v>5073</v>
      </c>
      <c r="I14" s="2595" t="s">
        <v>5073</v>
      </c>
      <c r="J14" s="2545" t="s">
        <v>5073</v>
      </c>
      <c r="K14" s="2545" t="s">
        <v>5073</v>
      </c>
      <c r="L14" s="2545" t="s">
        <v>5073</v>
      </c>
      <c r="M14" s="2545" t="s">
        <v>5073</v>
      </c>
      <c r="N14" s="2545" t="s">
        <v>5073</v>
      </c>
      <c r="O14" s="2545" t="s">
        <v>5073</v>
      </c>
      <c r="P14" s="2545" t="s">
        <v>5073</v>
      </c>
      <c r="Q14" s="2949" t="s">
        <v>5073</v>
      </c>
      <c r="R14" s="2949" t="s">
        <v>5073</v>
      </c>
      <c r="S14" s="2949" t="s">
        <v>5073</v>
      </c>
      <c r="T14" s="2949" t="s">
        <v>5073</v>
      </c>
      <c r="U14" s="2949" t="s">
        <v>5073</v>
      </c>
      <c r="V14" s="2949" t="s">
        <v>5073</v>
      </c>
      <c r="W14" s="2949" t="s">
        <v>5073</v>
      </c>
      <c r="X14" s="2949" t="s">
        <v>5073</v>
      </c>
      <c r="Y14" s="2949" t="s">
        <v>5073</v>
      </c>
      <c r="Z14" s="3347" t="s">
        <v>5439</v>
      </c>
      <c r="AA14" s="3343" t="s">
        <v>5073</v>
      </c>
      <c r="AB14" s="3134" t="s">
        <v>5073</v>
      </c>
      <c r="AC14" s="3134" t="s">
        <v>5073</v>
      </c>
      <c r="AD14" s="3134" t="s">
        <v>5073</v>
      </c>
      <c r="AE14" s="3134" t="s">
        <v>5073</v>
      </c>
      <c r="AF14" s="3134" t="s">
        <v>5073</v>
      </c>
      <c r="AG14" s="3134" t="s">
        <v>5073</v>
      </c>
      <c r="AH14" s="3134" t="s">
        <v>5073</v>
      </c>
      <c r="AI14" s="3134" t="s">
        <v>5073</v>
      </c>
      <c r="AJ14" s="3168" t="s">
        <v>5439</v>
      </c>
      <c r="AK14" s="3134" t="s">
        <v>5073</v>
      </c>
      <c r="AL14" s="3134" t="s">
        <v>5073</v>
      </c>
      <c r="AM14" s="3134" t="s">
        <v>5073</v>
      </c>
      <c r="AN14" s="3134" t="s">
        <v>5073</v>
      </c>
      <c r="AO14" s="3134" t="s">
        <v>5073</v>
      </c>
      <c r="AP14" s="3134" t="s">
        <v>5073</v>
      </c>
      <c r="AQ14" s="3134" t="s">
        <v>5073</v>
      </c>
      <c r="AR14" s="3134" t="s">
        <v>5073</v>
      </c>
      <c r="AS14" s="3134" t="s">
        <v>5073</v>
      </c>
      <c r="AT14" s="3168" t="s">
        <v>5439</v>
      </c>
      <c r="AU14" s="3134" t="s">
        <v>5073</v>
      </c>
      <c r="AV14" s="3134" t="s">
        <v>5073</v>
      </c>
      <c r="AW14" s="3707" t="s">
        <v>5073</v>
      </c>
      <c r="AX14" s="3707" t="s">
        <v>5073</v>
      </c>
      <c r="AY14" s="3705"/>
      <c r="AZ14" s="3705"/>
      <c r="BA14" s="3343"/>
    </row>
    <row r="15" spans="2:53">
      <c r="B15" s="3766"/>
      <c r="C15" s="3463" t="s">
        <v>762</v>
      </c>
      <c r="D15" s="2592">
        <v>42857</v>
      </c>
      <c r="E15" s="2588">
        <v>42899</v>
      </c>
      <c r="F15" s="2597">
        <v>42923</v>
      </c>
      <c r="G15" s="2592">
        <v>42961</v>
      </c>
      <c r="H15" s="2585">
        <v>42970</v>
      </c>
      <c r="I15" s="2585">
        <v>42983</v>
      </c>
      <c r="J15" s="2585">
        <v>42992</v>
      </c>
      <c r="K15" s="2585">
        <v>43018</v>
      </c>
      <c r="L15" s="2585">
        <v>43028</v>
      </c>
      <c r="M15" s="2585">
        <v>43053</v>
      </c>
      <c r="N15" s="2585">
        <v>538051.6</v>
      </c>
      <c r="O15" s="2585">
        <v>43075</v>
      </c>
      <c r="P15" s="2585">
        <v>43087</v>
      </c>
      <c r="Q15" s="3045">
        <v>43102</v>
      </c>
      <c r="R15" s="3045">
        <v>43116</v>
      </c>
      <c r="S15" s="3045">
        <v>43131</v>
      </c>
      <c r="T15" s="3045">
        <v>43144</v>
      </c>
      <c r="U15" s="3045">
        <v>43171</v>
      </c>
      <c r="V15" s="3045">
        <v>43180</v>
      </c>
      <c r="W15" s="3045">
        <v>43192</v>
      </c>
      <c r="X15" s="3045">
        <v>43199</v>
      </c>
      <c r="Y15" s="3045">
        <v>43220</v>
      </c>
      <c r="Z15" s="3195">
        <v>43223</v>
      </c>
      <c r="AA15" s="3344">
        <v>43277</v>
      </c>
      <c r="AB15" s="3135">
        <v>43298</v>
      </c>
      <c r="AC15" s="3135">
        <v>43311</v>
      </c>
      <c r="AD15" s="3135">
        <v>43397</v>
      </c>
      <c r="AE15" s="3135">
        <v>43417</v>
      </c>
      <c r="AF15" s="3135">
        <v>43439</v>
      </c>
      <c r="AG15" s="3135">
        <v>43474</v>
      </c>
      <c r="AH15" s="3135">
        <v>43491</v>
      </c>
      <c r="AI15" s="3135">
        <v>43535</v>
      </c>
      <c r="AJ15" s="3401">
        <v>43550</v>
      </c>
      <c r="AK15" s="3135">
        <v>43579</v>
      </c>
      <c r="AL15" s="3135">
        <v>43591</v>
      </c>
      <c r="AM15" s="3135">
        <v>43621</v>
      </c>
      <c r="AN15" s="3135">
        <v>43642</v>
      </c>
      <c r="AO15" s="3135">
        <v>43661</v>
      </c>
      <c r="AP15" s="3135">
        <v>43696</v>
      </c>
      <c r="AQ15" s="3135">
        <v>43710</v>
      </c>
      <c r="AR15" s="3135">
        <v>43745</v>
      </c>
      <c r="AS15" s="3135">
        <v>43780</v>
      </c>
      <c r="AT15" s="3195">
        <v>43783</v>
      </c>
      <c r="AU15" s="3135">
        <v>43808</v>
      </c>
      <c r="AV15" s="3135">
        <v>43826</v>
      </c>
      <c r="AW15" s="3708">
        <v>43850</v>
      </c>
      <c r="AX15" s="3708">
        <v>43875</v>
      </c>
      <c r="AY15" s="3706"/>
      <c r="AZ15" s="3706"/>
      <c r="BA15" s="3344"/>
    </row>
    <row r="16" spans="2:53">
      <c r="B16" s="3767"/>
      <c r="C16" s="3464" t="s">
        <v>5068</v>
      </c>
      <c r="D16" s="2593">
        <v>530994</v>
      </c>
      <c r="E16" s="2589">
        <v>531778.4</v>
      </c>
      <c r="F16" s="2621">
        <v>532941</v>
      </c>
      <c r="G16" s="2593">
        <v>533744.6</v>
      </c>
      <c r="H16" s="2538">
        <v>534390.69999999995</v>
      </c>
      <c r="I16" s="2538">
        <v>535216.30000000005</v>
      </c>
      <c r="J16" s="2538">
        <v>535216.6</v>
      </c>
      <c r="K16" s="2538">
        <v>536547.9</v>
      </c>
      <c r="L16" s="2538">
        <v>536589.1</v>
      </c>
      <c r="M16" s="2538">
        <v>537609.4</v>
      </c>
      <c r="N16" s="2538">
        <v>538051.6</v>
      </c>
      <c r="O16" s="2538">
        <v>538052.5</v>
      </c>
      <c r="P16" s="2538">
        <v>538615.1</v>
      </c>
      <c r="Q16" s="2950">
        <v>539292</v>
      </c>
      <c r="R16" s="2950">
        <v>539292</v>
      </c>
      <c r="S16" s="2950">
        <v>539661.80000000005</v>
      </c>
      <c r="T16" s="2950">
        <v>540520.9</v>
      </c>
      <c r="U16" s="2950">
        <v>541050.9</v>
      </c>
      <c r="V16" s="2950">
        <v>541526.5</v>
      </c>
      <c r="W16" s="2950">
        <v>542214.80000000005</v>
      </c>
      <c r="X16" s="2950">
        <v>542234.4</v>
      </c>
      <c r="Y16" s="2950">
        <f>543301.5</f>
        <v>543301.5</v>
      </c>
      <c r="Z16" s="3348" t="e">
        <f>+AA16-AA18</f>
        <v>#REF!</v>
      </c>
      <c r="AA16" s="3345">
        <v>544318.69999999995</v>
      </c>
      <c r="AB16" s="2950">
        <v>544600.30000000005</v>
      </c>
      <c r="AC16" s="2950">
        <v>544883.80000000005</v>
      </c>
      <c r="AD16" s="2950">
        <v>548405.6</v>
      </c>
      <c r="AE16" s="2950">
        <v>548959.6</v>
      </c>
      <c r="AF16" s="2950">
        <v>549450.30000000005</v>
      </c>
      <c r="AG16" s="2950">
        <v>549948.1</v>
      </c>
      <c r="AH16" s="2950">
        <v>550469.6</v>
      </c>
      <c r="AI16" s="2950">
        <v>552570.5</v>
      </c>
      <c r="AJ16" s="3170">
        <v>552922.9</v>
      </c>
      <c r="AK16" s="2950">
        <v>553612.1</v>
      </c>
      <c r="AL16" s="2950">
        <v>554122.80000000005</v>
      </c>
      <c r="AM16" s="2950">
        <v>556396.6</v>
      </c>
      <c r="AN16" s="2950">
        <v>556734.4</v>
      </c>
      <c r="AO16" s="2950">
        <v>556734.4</v>
      </c>
      <c r="AP16" s="2950">
        <v>557275.4</v>
      </c>
      <c r="AQ16" s="2950">
        <v>557824.5</v>
      </c>
      <c r="AR16" s="2950">
        <v>559361.80000000005</v>
      </c>
      <c r="AS16" s="2950">
        <v>559968.69999999995</v>
      </c>
      <c r="AT16" s="3170">
        <v>560012.19999999995</v>
      </c>
      <c r="AU16" s="3136">
        <v>561667.6</v>
      </c>
      <c r="AV16" s="3136">
        <v>562245.4</v>
      </c>
      <c r="AW16" s="3709">
        <v>562245.4</v>
      </c>
      <c r="AX16" s="3709">
        <v>563041.69999999995</v>
      </c>
      <c r="AY16" s="3703"/>
      <c r="AZ16" s="3703"/>
      <c r="BA16" s="3345"/>
    </row>
    <row r="17" spans="2:53">
      <c r="B17" s="3767"/>
      <c r="C17" s="3464" t="s">
        <v>5069</v>
      </c>
      <c r="D17" s="2593">
        <v>14052</v>
      </c>
      <c r="E17" s="2589">
        <v>14153.8</v>
      </c>
      <c r="F17" s="2622">
        <f>+G17*F16/G16</f>
        <v>14321.205638052355</v>
      </c>
      <c r="G17" s="2593">
        <v>14342.8</v>
      </c>
      <c r="H17" s="2538">
        <v>14387.3</v>
      </c>
      <c r="I17" s="2538">
        <v>14452.4</v>
      </c>
      <c r="J17" s="2538">
        <v>14452.8</v>
      </c>
      <c r="K17" s="2538">
        <v>14544.6</v>
      </c>
      <c r="L17" s="2538">
        <v>14548.2</v>
      </c>
      <c r="M17" s="2538">
        <v>14627.5</v>
      </c>
      <c r="N17" s="2538">
        <v>14657.9</v>
      </c>
      <c r="O17" s="2538">
        <v>14658.8</v>
      </c>
      <c r="P17" s="2538">
        <v>14701.4</v>
      </c>
      <c r="Q17" s="2950">
        <v>14743.3</v>
      </c>
      <c r="R17" s="2950">
        <v>14743.4</v>
      </c>
      <c r="S17" s="2950">
        <v>14774</v>
      </c>
      <c r="T17" s="2950">
        <v>14841.7</v>
      </c>
      <c r="U17" s="2950">
        <v>14888.6</v>
      </c>
      <c r="V17" s="2950">
        <v>14921</v>
      </c>
      <c r="W17" s="2950">
        <v>14979.5</v>
      </c>
      <c r="X17" s="2950">
        <v>14980.9</v>
      </c>
      <c r="Y17" s="2950">
        <v>15082.7</v>
      </c>
      <c r="Z17" s="3196" t="e">
        <f>+#REF!*Y17/Y16</f>
        <v>#REF!</v>
      </c>
      <c r="AA17" s="3345">
        <v>15167.3</v>
      </c>
      <c r="AB17" s="2950">
        <v>15198.8</v>
      </c>
      <c r="AC17" s="2950">
        <v>15221.7</v>
      </c>
      <c r="AD17" s="2950">
        <v>15507.5</v>
      </c>
      <c r="AE17" s="2950">
        <v>15560.9</v>
      </c>
      <c r="AF17" s="2950">
        <v>15600.4</v>
      </c>
      <c r="AG17" s="2950">
        <v>15644.8</v>
      </c>
      <c r="AH17" s="2950">
        <v>15693.8</v>
      </c>
      <c r="AI17" s="2950">
        <v>15861.8</v>
      </c>
      <c r="AJ17" s="3170">
        <v>15893.8</v>
      </c>
      <c r="AK17" s="2950">
        <v>15945.8</v>
      </c>
      <c r="AL17" s="2950">
        <v>15995.5</v>
      </c>
      <c r="AM17" s="2950">
        <v>16183.2</v>
      </c>
      <c r="AN17" s="2950">
        <v>16218.3</v>
      </c>
      <c r="AO17" s="2950">
        <v>16218.5</v>
      </c>
      <c r="AP17" s="2950">
        <v>16257.1</v>
      </c>
      <c r="AQ17" s="2950">
        <v>16302.5</v>
      </c>
      <c r="AR17" s="2950">
        <v>16420.599999999999</v>
      </c>
      <c r="AS17" s="2950">
        <v>16469.7</v>
      </c>
      <c r="AT17" s="3170">
        <f>+AS17*AT16/AS16</f>
        <v>16470.979414277979</v>
      </c>
      <c r="AU17" s="3136">
        <v>16603.3</v>
      </c>
      <c r="AV17" s="3136">
        <v>16649.5</v>
      </c>
      <c r="AW17" s="3709">
        <v>16649.5</v>
      </c>
      <c r="AX17" s="3709">
        <v>16716.5</v>
      </c>
      <c r="AY17" s="3703"/>
      <c r="AZ17" s="3703"/>
      <c r="BA17" s="3345"/>
    </row>
    <row r="18" spans="2:53">
      <c r="B18" s="3767"/>
      <c r="C18" s="3464" t="s">
        <v>5070</v>
      </c>
      <c r="D18" s="2593"/>
      <c r="E18" s="2589">
        <f>+E16-D16</f>
        <v>784.40000000002328</v>
      </c>
      <c r="F18" s="2598"/>
      <c r="G18" s="2593">
        <f t="shared" ref="G18:L18" si="18">+G16-$F$16</f>
        <v>803.59999999997672</v>
      </c>
      <c r="H18" s="2538">
        <f t="shared" si="18"/>
        <v>1449.6999999999534</v>
      </c>
      <c r="I18" s="2538">
        <f t="shared" si="18"/>
        <v>2275.3000000000466</v>
      </c>
      <c r="J18" s="2538">
        <f t="shared" si="18"/>
        <v>2275.5999999999767</v>
      </c>
      <c r="K18" s="2538">
        <f t="shared" si="18"/>
        <v>3606.9000000000233</v>
      </c>
      <c r="L18" s="2538">
        <f t="shared" si="18"/>
        <v>3648.0999999999767</v>
      </c>
      <c r="M18" s="2538">
        <f t="shared" ref="M18:V18" si="19">+M16-$F$16</f>
        <v>4668.4000000000233</v>
      </c>
      <c r="N18" s="2538">
        <f t="shared" si="19"/>
        <v>5110.5999999999767</v>
      </c>
      <c r="O18" s="2538">
        <f t="shared" si="19"/>
        <v>5111.5</v>
      </c>
      <c r="P18" s="2538">
        <f t="shared" si="19"/>
        <v>5674.0999999999767</v>
      </c>
      <c r="Q18" s="2950">
        <f t="shared" si="19"/>
        <v>6351</v>
      </c>
      <c r="R18" s="2950">
        <f t="shared" si="19"/>
        <v>6351</v>
      </c>
      <c r="S18" s="2950">
        <f t="shared" si="19"/>
        <v>6720.8000000000466</v>
      </c>
      <c r="T18" s="2950">
        <f t="shared" si="19"/>
        <v>7579.9000000000233</v>
      </c>
      <c r="U18" s="2950">
        <f t="shared" si="19"/>
        <v>8109.9000000000233</v>
      </c>
      <c r="V18" s="2950">
        <f t="shared" si="19"/>
        <v>8585.5</v>
      </c>
      <c r="W18" s="2950">
        <f>+W16-$F$16</f>
        <v>9273.8000000000466</v>
      </c>
      <c r="X18" s="2950">
        <f>+X16-$F$16</f>
        <v>9293.4000000000233</v>
      </c>
      <c r="Y18" s="2950">
        <f>+Y16-$F$16</f>
        <v>10360.5</v>
      </c>
      <c r="Z18" s="3196" t="e">
        <f>+#REF!-$F$16</f>
        <v>#REF!</v>
      </c>
      <c r="AA18" s="3345" t="e">
        <f>+Z18*AA19/Z19</f>
        <v>#REF!</v>
      </c>
      <c r="AB18" s="2950" t="e">
        <f t="shared" ref="AB18:AG18" si="20">+AB16-$Z$16</f>
        <v>#REF!</v>
      </c>
      <c r="AC18" s="2950" t="e">
        <f t="shared" si="20"/>
        <v>#REF!</v>
      </c>
      <c r="AD18" s="2950" t="e">
        <f t="shared" si="20"/>
        <v>#REF!</v>
      </c>
      <c r="AE18" s="2950" t="e">
        <f t="shared" si="20"/>
        <v>#REF!</v>
      </c>
      <c r="AF18" s="2950" t="e">
        <f t="shared" si="20"/>
        <v>#REF!</v>
      </c>
      <c r="AG18" s="2950" t="e">
        <f t="shared" si="20"/>
        <v>#REF!</v>
      </c>
      <c r="AH18" s="2950" t="e">
        <f>+AH16-$Z$16</f>
        <v>#REF!</v>
      </c>
      <c r="AI18" s="2950" t="e">
        <f>+AI16-$Z$16</f>
        <v>#REF!</v>
      </c>
      <c r="AJ18" s="3170" t="e">
        <f>+AJ16-$Z$16</f>
        <v>#REF!</v>
      </c>
      <c r="AK18" s="2950">
        <f t="shared" ref="AK18:AP18" si="21">+AK16-$AJ$16</f>
        <v>689.19999999995343</v>
      </c>
      <c r="AL18" s="2950">
        <f t="shared" si="21"/>
        <v>1199.9000000000233</v>
      </c>
      <c r="AM18" s="2950">
        <f t="shared" si="21"/>
        <v>3473.6999999999534</v>
      </c>
      <c r="AN18" s="2950">
        <f t="shared" si="21"/>
        <v>3811.5</v>
      </c>
      <c r="AO18" s="2950">
        <f t="shared" si="21"/>
        <v>3811.5</v>
      </c>
      <c r="AP18" s="2950">
        <f t="shared" si="21"/>
        <v>4352.5</v>
      </c>
      <c r="AQ18" s="2950">
        <f>+AQ16-$AJ$16</f>
        <v>4901.5999999999767</v>
      </c>
      <c r="AR18" s="2950">
        <f>+AR16-$AJ$16</f>
        <v>6438.9000000000233</v>
      </c>
      <c r="AS18" s="2950">
        <f>+AS16-$AJ$16</f>
        <v>7045.7999999999302</v>
      </c>
      <c r="AT18" s="3170">
        <f>+AT16-$AJ$16</f>
        <v>7089.2999999999302</v>
      </c>
      <c r="AU18" s="3136">
        <f>+AU16-$AT$16</f>
        <v>1655.4000000000233</v>
      </c>
      <c r="AV18" s="3136">
        <f>+AV16-$AT$16</f>
        <v>2233.2000000000698</v>
      </c>
      <c r="AW18" s="3709">
        <f>+AW16-$AT$16</f>
        <v>2233.2000000000698</v>
      </c>
      <c r="AX18" s="3709">
        <f>+AX16-$AT$16</f>
        <v>3029.5</v>
      </c>
      <c r="AY18" s="3703"/>
      <c r="AZ18" s="3703"/>
      <c r="BA18" s="3345"/>
    </row>
    <row r="19" spans="2:53" ht="13.5" thickBot="1">
      <c r="B19" s="3768"/>
      <c r="C19" s="3465" t="s">
        <v>5071</v>
      </c>
      <c r="D19" s="2594"/>
      <c r="E19" s="2590">
        <f>+E17-D17</f>
        <v>101.79999999999927</v>
      </c>
      <c r="F19" s="2600"/>
      <c r="G19" s="2594">
        <f t="shared" ref="G19:L19" si="22">+G17-$F$17</f>
        <v>21.594361947643847</v>
      </c>
      <c r="H19" s="2539">
        <f t="shared" si="22"/>
        <v>66.094361947643847</v>
      </c>
      <c r="I19" s="2539">
        <f t="shared" si="22"/>
        <v>131.19436194764421</v>
      </c>
      <c r="J19" s="2539">
        <f t="shared" si="22"/>
        <v>131.59436194764385</v>
      </c>
      <c r="K19" s="2539">
        <f t="shared" si="22"/>
        <v>223.39436194764494</v>
      </c>
      <c r="L19" s="2539">
        <f t="shared" si="22"/>
        <v>226.9943619476453</v>
      </c>
      <c r="M19" s="2539">
        <f t="shared" ref="M19:V19" si="23">+M17-$F$17</f>
        <v>306.29436194764457</v>
      </c>
      <c r="N19" s="2539">
        <f t="shared" si="23"/>
        <v>336.69436194764421</v>
      </c>
      <c r="O19" s="2539">
        <f t="shared" si="23"/>
        <v>337.59436194764385</v>
      </c>
      <c r="P19" s="2539">
        <f t="shared" si="23"/>
        <v>380.19436194764421</v>
      </c>
      <c r="Q19" s="2952">
        <f t="shared" si="23"/>
        <v>422.09436194764385</v>
      </c>
      <c r="R19" s="2952">
        <f t="shared" si="23"/>
        <v>422.19436194764421</v>
      </c>
      <c r="S19" s="2952">
        <f t="shared" si="23"/>
        <v>452.79436194764457</v>
      </c>
      <c r="T19" s="2952">
        <f t="shared" si="23"/>
        <v>520.4943619476453</v>
      </c>
      <c r="U19" s="2952">
        <f t="shared" si="23"/>
        <v>567.39436194764494</v>
      </c>
      <c r="V19" s="2952">
        <f t="shared" si="23"/>
        <v>599.79436194764457</v>
      </c>
      <c r="W19" s="2952">
        <f>+W17-$F$17</f>
        <v>658.29436194764457</v>
      </c>
      <c r="X19" s="2952">
        <f>+X17-$F$17</f>
        <v>659.69436194764421</v>
      </c>
      <c r="Y19" s="2952">
        <f>+Y17-$F$17</f>
        <v>761.4943619476453</v>
      </c>
      <c r="Z19" s="3197" t="e">
        <f>+Z17-$F$17</f>
        <v>#REF!</v>
      </c>
      <c r="AA19" s="3346" t="e">
        <f t="shared" ref="AA19:AF19" si="24">+AA17-$Z$17</f>
        <v>#REF!</v>
      </c>
      <c r="AB19" s="2952" t="e">
        <f t="shared" si="24"/>
        <v>#REF!</v>
      </c>
      <c r="AC19" s="2952" t="e">
        <f t="shared" si="24"/>
        <v>#REF!</v>
      </c>
      <c r="AD19" s="2952" t="e">
        <f t="shared" si="24"/>
        <v>#REF!</v>
      </c>
      <c r="AE19" s="2952" t="e">
        <f t="shared" si="24"/>
        <v>#REF!</v>
      </c>
      <c r="AF19" s="2952" t="e">
        <f t="shared" si="24"/>
        <v>#REF!</v>
      </c>
      <c r="AG19" s="2952" t="e">
        <f>+AG17-$Z$17</f>
        <v>#REF!</v>
      </c>
      <c r="AH19" s="2952" t="e">
        <f>+AH17-$Z$17</f>
        <v>#REF!</v>
      </c>
      <c r="AI19" s="2952" t="e">
        <f>+AI17-$Z$17</f>
        <v>#REF!</v>
      </c>
      <c r="AJ19" s="3171" t="e">
        <f>+AJ17-$Z$17</f>
        <v>#REF!</v>
      </c>
      <c r="AK19" s="2952">
        <f t="shared" ref="AK19:AP19" si="25">+AK17-$AJ$17</f>
        <v>52</v>
      </c>
      <c r="AL19" s="2952">
        <f t="shared" si="25"/>
        <v>101.70000000000073</v>
      </c>
      <c r="AM19" s="2952">
        <f t="shared" si="25"/>
        <v>289.40000000000146</v>
      </c>
      <c r="AN19" s="2952">
        <f t="shared" si="25"/>
        <v>324.5</v>
      </c>
      <c r="AO19" s="2952">
        <f t="shared" si="25"/>
        <v>324.70000000000073</v>
      </c>
      <c r="AP19" s="2952">
        <f t="shared" si="25"/>
        <v>363.30000000000109</v>
      </c>
      <c r="AQ19" s="2952">
        <f>+AQ17-$AJ$17</f>
        <v>408.70000000000073</v>
      </c>
      <c r="AR19" s="2952">
        <f>+AR17-$AJ$17</f>
        <v>526.79999999999927</v>
      </c>
      <c r="AS19" s="2952">
        <f>+AS17-$AJ$17</f>
        <v>575.90000000000146</v>
      </c>
      <c r="AT19" s="3171">
        <f>+AT17-$AJ$17</f>
        <v>577.17941427797996</v>
      </c>
      <c r="AU19" s="3137">
        <f>+AU17-$AT$17</f>
        <v>132.32058572202004</v>
      </c>
      <c r="AV19" s="3137">
        <f>+AV17-$AT$17</f>
        <v>178.52058572202077</v>
      </c>
      <c r="AW19" s="3710">
        <f>+AW17-$AT$17</f>
        <v>178.52058572202077</v>
      </c>
      <c r="AX19" s="3710">
        <f>+AX17-$AT$17</f>
        <v>245.52058572202077</v>
      </c>
      <c r="AY19" s="3704"/>
      <c r="AZ19" s="3704"/>
      <c r="BA19" s="3346"/>
    </row>
    <row r="20" spans="2:53" s="2546" customFormat="1" ht="15">
      <c r="B20" s="3765" t="s">
        <v>5081</v>
      </c>
      <c r="C20" s="3462" t="s">
        <v>5077</v>
      </c>
      <c r="D20" s="2591" t="s">
        <v>5073</v>
      </c>
      <c r="E20" s="2587" t="s">
        <v>5073</v>
      </c>
      <c r="F20" s="2596" t="s">
        <v>5092</v>
      </c>
      <c r="G20" s="2591" t="s">
        <v>5073</v>
      </c>
      <c r="H20" s="2545" t="s">
        <v>5073</v>
      </c>
      <c r="I20" s="2545" t="s">
        <v>5073</v>
      </c>
      <c r="J20" s="2545" t="s">
        <v>5073</v>
      </c>
      <c r="K20" s="2545" t="s">
        <v>5073</v>
      </c>
      <c r="L20" s="2545" t="s">
        <v>5073</v>
      </c>
      <c r="M20" s="2545" t="s">
        <v>5073</v>
      </c>
      <c r="N20" s="2545" t="s">
        <v>5073</v>
      </c>
      <c r="O20" s="2545" t="s">
        <v>5073</v>
      </c>
      <c r="P20" s="2545" t="s">
        <v>5073</v>
      </c>
      <c r="Q20" s="2949" t="s">
        <v>5073</v>
      </c>
      <c r="R20" s="2949" t="s">
        <v>5073</v>
      </c>
      <c r="S20" s="2949" t="s">
        <v>5073</v>
      </c>
      <c r="T20" s="2949" t="s">
        <v>5073</v>
      </c>
      <c r="U20" s="2949" t="s">
        <v>5073</v>
      </c>
      <c r="V20" s="2949" t="s">
        <v>5073</v>
      </c>
      <c r="W20" s="2949" t="s">
        <v>5073</v>
      </c>
      <c r="X20" s="2949" t="s">
        <v>5073</v>
      </c>
      <c r="Y20" s="3168" t="s">
        <v>5439</v>
      </c>
      <c r="Z20" s="3349" t="s">
        <v>5073</v>
      </c>
      <c r="AA20" s="3343" t="s">
        <v>5073</v>
      </c>
      <c r="AB20" s="3134" t="s">
        <v>5073</v>
      </c>
      <c r="AC20" s="3134" t="s">
        <v>5073</v>
      </c>
      <c r="AD20" s="3134" t="s">
        <v>5073</v>
      </c>
      <c r="AE20" s="3134" t="s">
        <v>5073</v>
      </c>
      <c r="AF20" s="3134" t="s">
        <v>5073</v>
      </c>
      <c r="AG20" s="3134" t="s">
        <v>5073</v>
      </c>
      <c r="AH20" s="3168" t="s">
        <v>5439</v>
      </c>
      <c r="AI20" s="3134" t="s">
        <v>5073</v>
      </c>
      <c r="AJ20" s="3134" t="s">
        <v>5073</v>
      </c>
      <c r="AK20" s="3134" t="s">
        <v>5073</v>
      </c>
      <c r="AL20" s="3134" t="s">
        <v>5073</v>
      </c>
      <c r="AM20" s="3134" t="s">
        <v>5073</v>
      </c>
      <c r="AN20" s="3134" t="s">
        <v>5073</v>
      </c>
      <c r="AO20" s="3134" t="s">
        <v>5073</v>
      </c>
      <c r="AP20" s="3134" t="s">
        <v>5073</v>
      </c>
      <c r="AQ20" s="3168" t="s">
        <v>5439</v>
      </c>
      <c r="AR20" s="3134" t="s">
        <v>5073</v>
      </c>
      <c r="AS20" s="3134" t="s">
        <v>5073</v>
      </c>
      <c r="AT20" s="3134" t="s">
        <v>5073</v>
      </c>
      <c r="AU20" s="3134" t="s">
        <v>5073</v>
      </c>
      <c r="AV20" s="3134" t="s">
        <v>5073</v>
      </c>
      <c r="AW20" s="3707" t="s">
        <v>5073</v>
      </c>
      <c r="AX20" s="3707" t="s">
        <v>5073</v>
      </c>
      <c r="AY20" s="3705"/>
      <c r="AZ20" s="3705"/>
      <c r="BA20" s="3343"/>
    </row>
    <row r="21" spans="2:53">
      <c r="B21" s="3766"/>
      <c r="C21" s="3463" t="s">
        <v>762</v>
      </c>
      <c r="D21" s="2592">
        <v>42857</v>
      </c>
      <c r="E21" s="2588">
        <v>42899</v>
      </c>
      <c r="F21" s="2597">
        <v>42923</v>
      </c>
      <c r="G21" s="2592">
        <v>42961</v>
      </c>
      <c r="H21" s="2585">
        <v>42970</v>
      </c>
      <c r="I21" s="2585">
        <v>42983</v>
      </c>
      <c r="J21" s="2585">
        <v>42992</v>
      </c>
      <c r="K21" s="2585">
        <v>43018</v>
      </c>
      <c r="L21" s="2585">
        <v>43028</v>
      </c>
      <c r="M21" s="2585">
        <v>43053</v>
      </c>
      <c r="N21" s="2585">
        <v>43060</v>
      </c>
      <c r="O21" s="2585">
        <v>43075</v>
      </c>
      <c r="P21" s="2585">
        <v>43087</v>
      </c>
      <c r="Q21" s="3045">
        <v>43102</v>
      </c>
      <c r="R21" s="3045">
        <v>43116</v>
      </c>
      <c r="S21" s="3045">
        <v>43131</v>
      </c>
      <c r="T21" s="3045">
        <v>43144</v>
      </c>
      <c r="U21" s="3045">
        <v>43171</v>
      </c>
      <c r="V21" s="3045">
        <v>43180</v>
      </c>
      <c r="W21" s="3045">
        <v>43192</v>
      </c>
      <c r="X21" s="3045">
        <v>43199</v>
      </c>
      <c r="Y21" s="3169">
        <v>43214</v>
      </c>
      <c r="Z21" s="3135">
        <v>43223</v>
      </c>
      <c r="AA21" s="3344">
        <v>43277</v>
      </c>
      <c r="AB21" s="3135">
        <v>43298</v>
      </c>
      <c r="AC21" s="3135">
        <v>43311</v>
      </c>
      <c r="AD21" s="3135">
        <v>43397</v>
      </c>
      <c r="AE21" s="3135">
        <v>43417</v>
      </c>
      <c r="AF21" s="3135">
        <v>43439</v>
      </c>
      <c r="AG21" s="3135">
        <v>43474</v>
      </c>
      <c r="AH21" s="3401">
        <v>43488</v>
      </c>
      <c r="AI21" s="3135">
        <v>43535</v>
      </c>
      <c r="AJ21" s="3135">
        <v>43579</v>
      </c>
      <c r="AK21" s="3135">
        <v>43579</v>
      </c>
      <c r="AL21" s="3135">
        <v>43591</v>
      </c>
      <c r="AM21" s="3135">
        <v>43621</v>
      </c>
      <c r="AN21" s="3135">
        <v>43642</v>
      </c>
      <c r="AO21" s="3135">
        <v>43661</v>
      </c>
      <c r="AP21" s="3135">
        <v>43696</v>
      </c>
      <c r="AQ21" s="3400">
        <v>43712</v>
      </c>
      <c r="AR21" s="3135">
        <v>43745</v>
      </c>
      <c r="AS21" s="3135">
        <v>43780</v>
      </c>
      <c r="AT21" s="3135">
        <v>43787</v>
      </c>
      <c r="AU21" s="3135">
        <v>43808</v>
      </c>
      <c r="AV21" s="3135">
        <v>43826</v>
      </c>
      <c r="AW21" s="3708">
        <v>43850</v>
      </c>
      <c r="AX21" s="3708">
        <v>43875</v>
      </c>
      <c r="AY21" s="3706"/>
      <c r="AZ21" s="3706"/>
      <c r="BA21" s="3344"/>
    </row>
    <row r="22" spans="2:53">
      <c r="B22" s="3767"/>
      <c r="C22" s="3464" t="s">
        <v>5068</v>
      </c>
      <c r="D22" s="2593">
        <v>415001</v>
      </c>
      <c r="E22" s="2589">
        <v>415136.7</v>
      </c>
      <c r="F22" s="2621">
        <v>416712</v>
      </c>
      <c r="G22" s="2593">
        <v>417239.2</v>
      </c>
      <c r="H22" s="2538">
        <v>417968.3</v>
      </c>
      <c r="I22" s="2538">
        <v>418879.8</v>
      </c>
      <c r="J22" s="2538">
        <v>418880.1</v>
      </c>
      <c r="K22" s="2538">
        <v>420350.3</v>
      </c>
      <c r="L22" s="2538">
        <v>420388.8</v>
      </c>
      <c r="M22" s="2538">
        <v>421483.1</v>
      </c>
      <c r="N22" s="2538">
        <v>421976.9</v>
      </c>
      <c r="O22" s="2538">
        <v>421977.2</v>
      </c>
      <c r="P22" s="2538">
        <v>422775</v>
      </c>
      <c r="Q22" s="2950">
        <v>423162</v>
      </c>
      <c r="R22" s="2950">
        <v>423162</v>
      </c>
      <c r="S22" s="2950">
        <v>423448.3</v>
      </c>
      <c r="T22" s="2950">
        <v>424334.6</v>
      </c>
      <c r="U22" s="2950">
        <v>425028</v>
      </c>
      <c r="V22" s="2950">
        <v>425541.9</v>
      </c>
      <c r="W22" s="2950">
        <v>426452</v>
      </c>
      <c r="X22" s="2950">
        <v>426481.6</v>
      </c>
      <c r="Y22" s="3170">
        <v>427591</v>
      </c>
      <c r="Z22" s="3136">
        <v>427881.4</v>
      </c>
      <c r="AA22" s="3345">
        <v>428884.5</v>
      </c>
      <c r="AB22" s="2950">
        <v>429248.8</v>
      </c>
      <c r="AC22" s="2950">
        <v>429640.2</v>
      </c>
      <c r="AD22" s="2950">
        <v>431698.6</v>
      </c>
      <c r="AE22" s="2950">
        <v>432374</v>
      </c>
      <c r="AF22" s="2950">
        <v>433058.7</v>
      </c>
      <c r="AG22" s="2950">
        <v>433608</v>
      </c>
      <c r="AH22" s="3170">
        <v>434139.8</v>
      </c>
      <c r="AI22" s="2950">
        <v>436422.7</v>
      </c>
      <c r="AJ22" s="2950">
        <v>437398.1</v>
      </c>
      <c r="AK22" s="2950">
        <v>437398.1</v>
      </c>
      <c r="AL22" s="2950">
        <v>437906.9</v>
      </c>
      <c r="AM22" s="2950">
        <v>439991.9</v>
      </c>
      <c r="AN22" s="2950">
        <v>440326.1</v>
      </c>
      <c r="AO22" s="2950">
        <v>440326.1</v>
      </c>
      <c r="AP22" s="2950">
        <v>440781.6</v>
      </c>
      <c r="AQ22" s="3170">
        <v>441437.3</v>
      </c>
      <c r="AR22" s="2950">
        <v>442674</v>
      </c>
      <c r="AS22" s="2950">
        <v>443067</v>
      </c>
      <c r="AT22" s="2950">
        <v>443067</v>
      </c>
      <c r="AU22" s="2950">
        <v>444474.9</v>
      </c>
      <c r="AV22" s="3136">
        <v>444988.2</v>
      </c>
      <c r="AW22" s="3709">
        <v>444988.2</v>
      </c>
      <c r="AX22" s="3709">
        <v>445831.2</v>
      </c>
      <c r="AY22" s="3703"/>
      <c r="AZ22" s="3703"/>
      <c r="BA22" s="3345"/>
    </row>
    <row r="23" spans="2:53">
      <c r="B23" s="3767"/>
      <c r="C23" s="3464" t="s">
        <v>5069</v>
      </c>
      <c r="D23" s="2593">
        <v>11969</v>
      </c>
      <c r="E23" s="2589">
        <v>12039.8</v>
      </c>
      <c r="F23" s="2622">
        <f>+G23*F22/G22</f>
        <v>12221.238393707974</v>
      </c>
      <c r="G23" s="2593">
        <v>12236.7</v>
      </c>
      <c r="H23" s="2538">
        <v>12290.1</v>
      </c>
      <c r="I23" s="2538">
        <v>12367.6</v>
      </c>
      <c r="J23" s="2538">
        <v>12368.2</v>
      </c>
      <c r="K23" s="2538">
        <v>12476</v>
      </c>
      <c r="L23" s="2538">
        <v>12479.5</v>
      </c>
      <c r="M23" s="2538">
        <v>12565.3</v>
      </c>
      <c r="N23" s="2538">
        <v>12599.7</v>
      </c>
      <c r="O23" s="2538">
        <v>12600</v>
      </c>
      <c r="P23" s="2538">
        <v>12656</v>
      </c>
      <c r="Q23" s="2950">
        <v>12682.9</v>
      </c>
      <c r="R23" s="2950">
        <v>12683.1</v>
      </c>
      <c r="S23" s="2950">
        <v>12710.5</v>
      </c>
      <c r="T23" s="2950">
        <v>12791.8</v>
      </c>
      <c r="U23" s="2950">
        <v>12854.4</v>
      </c>
      <c r="V23" s="2950">
        <v>12895.4</v>
      </c>
      <c r="W23" s="2950">
        <v>12961.2</v>
      </c>
      <c r="X23" s="2950">
        <v>12963.800000000001</v>
      </c>
      <c r="Y23" s="3170">
        <f>+Y22*X23/X22</f>
        <v>12997.522532742329</v>
      </c>
      <c r="Z23" s="3136">
        <v>13106.4</v>
      </c>
      <c r="AA23" s="3345">
        <v>13205.4</v>
      </c>
      <c r="AB23" s="2950">
        <v>13242.1</v>
      </c>
      <c r="AC23" s="2950">
        <v>13283</v>
      </c>
      <c r="AD23" s="2950">
        <v>13446.3</v>
      </c>
      <c r="AE23" s="2950">
        <v>13509.5</v>
      </c>
      <c r="AF23" s="2950">
        <v>13560.5</v>
      </c>
      <c r="AG23" s="2950">
        <v>13605.3</v>
      </c>
      <c r="AH23" s="3170">
        <v>13660.9</v>
      </c>
      <c r="AI23" s="2950">
        <v>13836.9</v>
      </c>
      <c r="AJ23" s="2950">
        <v>13917.2</v>
      </c>
      <c r="AK23" s="2950">
        <v>13917.2</v>
      </c>
      <c r="AL23" s="2950">
        <v>13963.5</v>
      </c>
      <c r="AM23" s="2950">
        <v>14156</v>
      </c>
      <c r="AN23" s="2950">
        <v>14187.8</v>
      </c>
      <c r="AO23" s="2950">
        <v>14188.1</v>
      </c>
      <c r="AP23" s="2950">
        <v>14217.3</v>
      </c>
      <c r="AQ23" s="3170">
        <v>14271.5</v>
      </c>
      <c r="AR23" s="2950">
        <v>14357.3</v>
      </c>
      <c r="AS23" s="2950">
        <v>14401.4</v>
      </c>
      <c r="AT23" s="2950">
        <v>14401.6</v>
      </c>
      <c r="AU23" s="2950">
        <v>14509</v>
      </c>
      <c r="AV23" s="3136">
        <v>14549.3</v>
      </c>
      <c r="AW23" s="3709">
        <v>14549.3</v>
      </c>
      <c r="AX23" s="3709">
        <v>14601</v>
      </c>
      <c r="AY23" s="3703"/>
      <c r="AZ23" s="3703"/>
      <c r="BA23" s="3345"/>
    </row>
    <row r="24" spans="2:53">
      <c r="B24" s="3767"/>
      <c r="C24" s="3464" t="s">
        <v>5070</v>
      </c>
      <c r="D24" s="2593"/>
      <c r="E24" s="2589">
        <f>+E22-D22</f>
        <v>135.70000000001164</v>
      </c>
      <c r="F24" s="2598"/>
      <c r="G24" s="2593">
        <f t="shared" ref="G24:L24" si="26">+G22-$F$22</f>
        <v>527.20000000001164</v>
      </c>
      <c r="H24" s="2538">
        <f t="shared" si="26"/>
        <v>1256.2999999999884</v>
      </c>
      <c r="I24" s="2538">
        <f t="shared" si="26"/>
        <v>2167.7999999999884</v>
      </c>
      <c r="J24" s="2538">
        <f t="shared" si="26"/>
        <v>2168.0999999999767</v>
      </c>
      <c r="K24" s="2538">
        <f t="shared" si="26"/>
        <v>3638.2999999999884</v>
      </c>
      <c r="L24" s="2538">
        <f t="shared" si="26"/>
        <v>3676.7999999999884</v>
      </c>
      <c r="M24" s="2538">
        <f t="shared" ref="M24:V24" si="27">+M22-$F$22</f>
        <v>4771.0999999999767</v>
      </c>
      <c r="N24" s="2538">
        <f t="shared" si="27"/>
        <v>5264.9000000000233</v>
      </c>
      <c r="O24" s="2538">
        <f t="shared" si="27"/>
        <v>5265.2000000000116</v>
      </c>
      <c r="P24" s="2538">
        <f t="shared" si="27"/>
        <v>6063</v>
      </c>
      <c r="Q24" s="2950">
        <f t="shared" si="27"/>
        <v>6450</v>
      </c>
      <c r="R24" s="2950">
        <f t="shared" si="27"/>
        <v>6450</v>
      </c>
      <c r="S24" s="2950">
        <f t="shared" si="27"/>
        <v>6736.2999999999884</v>
      </c>
      <c r="T24" s="2950">
        <f t="shared" si="27"/>
        <v>7622.5999999999767</v>
      </c>
      <c r="U24" s="2950">
        <f t="shared" si="27"/>
        <v>8316</v>
      </c>
      <c r="V24" s="2950">
        <f t="shared" si="27"/>
        <v>8829.9000000000233</v>
      </c>
      <c r="W24" s="2950">
        <f>+W22-$F$22</f>
        <v>9740</v>
      </c>
      <c r="X24" s="2950">
        <f>+X22-$F$22</f>
        <v>9769.5999999999767</v>
      </c>
      <c r="Y24" s="3170">
        <f>+Y22-$F$22</f>
        <v>10879</v>
      </c>
      <c r="Z24" s="3136">
        <f t="shared" ref="Z24:AE24" si="28">+Z22-$Y$22</f>
        <v>290.40000000002328</v>
      </c>
      <c r="AA24" s="3345">
        <f t="shared" si="28"/>
        <v>1293.5</v>
      </c>
      <c r="AB24" s="2950">
        <f t="shared" si="28"/>
        <v>1657.7999999999884</v>
      </c>
      <c r="AC24" s="2950">
        <f t="shared" si="28"/>
        <v>2049.2000000000116</v>
      </c>
      <c r="AD24" s="2950">
        <f t="shared" si="28"/>
        <v>4107.5999999999767</v>
      </c>
      <c r="AE24" s="2950">
        <f t="shared" si="28"/>
        <v>4783</v>
      </c>
      <c r="AF24" s="2950">
        <f>+AF22-$Y$22</f>
        <v>5467.7000000000116</v>
      </c>
      <c r="AG24" s="2950">
        <f>+AG22-$Y$22</f>
        <v>6017</v>
      </c>
      <c r="AH24" s="3170">
        <f>+AH22-$Y$22</f>
        <v>6548.7999999999884</v>
      </c>
      <c r="AI24" s="2950">
        <f t="shared" ref="AI24:AN24" si="29">+AI22-$AH$22</f>
        <v>2282.9000000000233</v>
      </c>
      <c r="AJ24" s="2950">
        <f t="shared" si="29"/>
        <v>3258.2999999999884</v>
      </c>
      <c r="AK24" s="2950">
        <f t="shared" si="29"/>
        <v>3258.2999999999884</v>
      </c>
      <c r="AL24" s="2950">
        <f t="shared" si="29"/>
        <v>3767.1000000000349</v>
      </c>
      <c r="AM24" s="2950">
        <f t="shared" si="29"/>
        <v>5852.1000000000349</v>
      </c>
      <c r="AN24" s="2950">
        <f t="shared" si="29"/>
        <v>6186.2999999999884</v>
      </c>
      <c r="AO24" s="2950">
        <f>+AO22-$AH$22</f>
        <v>6186.2999999999884</v>
      </c>
      <c r="AP24" s="2950">
        <f>+AP22-$AH$22</f>
        <v>6641.7999999999884</v>
      </c>
      <c r="AQ24" s="3170">
        <f>+AQ22-$AH$22</f>
        <v>7297.5</v>
      </c>
      <c r="AR24" s="2950">
        <f>+AR22-AQ22</f>
        <v>1236.7000000000116</v>
      </c>
      <c r="AS24" s="2950">
        <f>+AS22-AQ22</f>
        <v>1629.7000000000116</v>
      </c>
      <c r="AT24" s="2950">
        <f>+AT22-AQ22</f>
        <v>1629.7000000000116</v>
      </c>
      <c r="AU24" s="2950">
        <f>+AU22-AQ22</f>
        <v>3037.6000000000349</v>
      </c>
      <c r="AV24" s="3136">
        <f>+AV22-AQ22</f>
        <v>3550.9000000000233</v>
      </c>
      <c r="AW24" s="3709">
        <f>+AW22-AR22</f>
        <v>2314.2000000000116</v>
      </c>
      <c r="AX24" s="3709">
        <f>+AX22-AS22</f>
        <v>2764.2000000000116</v>
      </c>
      <c r="AY24" s="3703"/>
      <c r="AZ24" s="3703"/>
      <c r="BA24" s="3345"/>
    </row>
    <row r="25" spans="2:53" ht="13.5" thickBot="1">
      <c r="B25" s="3768"/>
      <c r="C25" s="3465" t="s">
        <v>5071</v>
      </c>
      <c r="D25" s="2594"/>
      <c r="E25" s="2590">
        <f>+E23-D23</f>
        <v>70.799999999999272</v>
      </c>
      <c r="F25" s="2600"/>
      <c r="G25" s="2594">
        <f t="shared" ref="G25:L25" si="30">+G23-$F$23</f>
        <v>15.461606292026772</v>
      </c>
      <c r="H25" s="2539">
        <f t="shared" si="30"/>
        <v>68.861606292026408</v>
      </c>
      <c r="I25" s="2539">
        <f t="shared" si="30"/>
        <v>146.36160629202641</v>
      </c>
      <c r="J25" s="2539">
        <f t="shared" si="30"/>
        <v>146.96160629202677</v>
      </c>
      <c r="K25" s="2539">
        <f t="shared" si="30"/>
        <v>254.76160629202604</v>
      </c>
      <c r="L25" s="2539">
        <f t="shared" si="30"/>
        <v>258.26160629202604</v>
      </c>
      <c r="M25" s="2539">
        <f t="shared" ref="M25:V25" si="31">+M23-$F$23</f>
        <v>344.06160629202532</v>
      </c>
      <c r="N25" s="2539">
        <f t="shared" si="31"/>
        <v>378.46160629202677</v>
      </c>
      <c r="O25" s="2539">
        <f t="shared" si="31"/>
        <v>378.76160629202604</v>
      </c>
      <c r="P25" s="2539">
        <f t="shared" si="31"/>
        <v>434.76160629202604</v>
      </c>
      <c r="Q25" s="2952">
        <f t="shared" si="31"/>
        <v>461.66160629202568</v>
      </c>
      <c r="R25" s="2952">
        <f t="shared" si="31"/>
        <v>461.86160629202641</v>
      </c>
      <c r="S25" s="2952">
        <f t="shared" si="31"/>
        <v>489.26160629202604</v>
      </c>
      <c r="T25" s="2952">
        <f t="shared" si="31"/>
        <v>570.56160629202532</v>
      </c>
      <c r="U25" s="2952">
        <f t="shared" si="31"/>
        <v>633.16160629202568</v>
      </c>
      <c r="V25" s="2952">
        <f t="shared" si="31"/>
        <v>674.16160629202568</v>
      </c>
      <c r="W25" s="2952">
        <f>+W23-$F$23</f>
        <v>739.96160629202677</v>
      </c>
      <c r="X25" s="2952">
        <f>+X23-$F$23</f>
        <v>742.56160629202714</v>
      </c>
      <c r="Y25" s="3171">
        <f>+Y23-$F$23</f>
        <v>776.28413903435467</v>
      </c>
      <c r="Z25" s="3137">
        <f t="shared" ref="Z25:AE25" si="32">+Z23-$Y$23</f>
        <v>108.87746725767101</v>
      </c>
      <c r="AA25" s="3346">
        <f t="shared" si="32"/>
        <v>207.87746725767101</v>
      </c>
      <c r="AB25" s="2952">
        <f t="shared" si="32"/>
        <v>244.57746725767174</v>
      </c>
      <c r="AC25" s="2952">
        <f t="shared" si="32"/>
        <v>285.47746725767138</v>
      </c>
      <c r="AD25" s="2952">
        <f t="shared" si="32"/>
        <v>448.77746725767065</v>
      </c>
      <c r="AE25" s="2952">
        <f t="shared" si="32"/>
        <v>511.97746725767138</v>
      </c>
      <c r="AF25" s="2952">
        <f>+AF23-$Y$23</f>
        <v>562.97746725767138</v>
      </c>
      <c r="AG25" s="2952">
        <f>+AG23-$Y$23</f>
        <v>607.77746725767065</v>
      </c>
      <c r="AH25" s="3171">
        <f>+AH23-$Y$23</f>
        <v>663.37746725767101</v>
      </c>
      <c r="AI25" s="2952">
        <f t="shared" ref="AI25:AN25" si="33">+AI23-$AH$23</f>
        <v>176</v>
      </c>
      <c r="AJ25" s="2952">
        <f t="shared" si="33"/>
        <v>256.30000000000109</v>
      </c>
      <c r="AK25" s="2952">
        <f t="shared" si="33"/>
        <v>256.30000000000109</v>
      </c>
      <c r="AL25" s="2952">
        <f t="shared" si="33"/>
        <v>302.60000000000036</v>
      </c>
      <c r="AM25" s="2952">
        <f t="shared" si="33"/>
        <v>495.10000000000036</v>
      </c>
      <c r="AN25" s="2952">
        <f t="shared" si="33"/>
        <v>526.89999999999964</v>
      </c>
      <c r="AO25" s="2952">
        <f>+AO23-$AH$23</f>
        <v>527.20000000000073</v>
      </c>
      <c r="AP25" s="2952">
        <f>+AP23-$AH$23</f>
        <v>556.39999999999964</v>
      </c>
      <c r="AQ25" s="3171">
        <f>+AQ23-$AH$23</f>
        <v>610.60000000000036</v>
      </c>
      <c r="AR25" s="2952">
        <f t="shared" ref="AR25:AW25" si="34">+AR23-$AQ$23</f>
        <v>85.799999999999272</v>
      </c>
      <c r="AS25" s="2952">
        <f t="shared" si="34"/>
        <v>129.89999999999964</v>
      </c>
      <c r="AT25" s="2952">
        <f t="shared" si="34"/>
        <v>130.10000000000036</v>
      </c>
      <c r="AU25" s="2952">
        <f t="shared" si="34"/>
        <v>237.5</v>
      </c>
      <c r="AV25" s="3137">
        <f t="shared" si="34"/>
        <v>277.79999999999927</v>
      </c>
      <c r="AW25" s="3710">
        <f t="shared" si="34"/>
        <v>277.79999999999927</v>
      </c>
      <c r="AX25" s="3710">
        <f t="shared" ref="AX25" si="35">+AX23-$AQ$23</f>
        <v>329.5</v>
      </c>
      <c r="AY25" s="3704"/>
      <c r="AZ25" s="3704"/>
      <c r="BA25" s="3346"/>
    </row>
    <row r="26" spans="2:53" s="2546" customFormat="1" ht="15" customHeight="1">
      <c r="B26" s="3765" t="s">
        <v>5861</v>
      </c>
      <c r="C26" s="3462" t="s">
        <v>5862</v>
      </c>
      <c r="D26" s="2591"/>
      <c r="E26" s="2587"/>
      <c r="F26" s="2949"/>
      <c r="G26" s="3343"/>
      <c r="H26" s="2949"/>
      <c r="I26" s="2949"/>
      <c r="J26" s="2949"/>
      <c r="K26" s="2949"/>
      <c r="L26" s="2949"/>
      <c r="M26" s="2949"/>
      <c r="N26" s="2949"/>
      <c r="O26" s="2949"/>
      <c r="P26" s="2949"/>
      <c r="Q26" s="2949"/>
      <c r="R26" s="2949"/>
      <c r="S26" s="2949"/>
      <c r="T26" s="2949"/>
      <c r="U26" s="2949"/>
      <c r="V26" s="2949"/>
      <c r="W26" s="2949"/>
      <c r="X26" s="2949"/>
      <c r="Y26" s="3043"/>
      <c r="Z26" s="3349"/>
      <c r="AA26" s="3343"/>
      <c r="AB26" s="3134"/>
      <c r="AC26" s="3134"/>
      <c r="AD26" s="3134"/>
      <c r="AE26" s="3134"/>
      <c r="AF26" s="3134"/>
      <c r="AG26" s="3134"/>
      <c r="AH26" s="3043"/>
      <c r="AI26" s="3134"/>
      <c r="AJ26" s="3134"/>
      <c r="AK26" s="3134"/>
      <c r="AL26" s="3134"/>
      <c r="AM26" s="3134"/>
      <c r="AN26" s="3134"/>
      <c r="AO26" s="3478" t="s">
        <v>5863</v>
      </c>
      <c r="AP26" s="3134" t="s">
        <v>5073</v>
      </c>
      <c r="AQ26" s="3168" t="s">
        <v>5073</v>
      </c>
      <c r="AR26" s="3134" t="s">
        <v>5073</v>
      </c>
      <c r="AS26" s="3134" t="s">
        <v>5073</v>
      </c>
      <c r="AT26" s="3134" t="s">
        <v>5073</v>
      </c>
      <c r="AU26" s="3134" t="s">
        <v>5073</v>
      </c>
      <c r="AV26" s="3134" t="s">
        <v>5073</v>
      </c>
      <c r="AW26" s="3707" t="s">
        <v>5073</v>
      </c>
      <c r="AX26" s="3707" t="s">
        <v>5073</v>
      </c>
      <c r="AY26" s="3705"/>
      <c r="AZ26" s="3705"/>
      <c r="BA26" s="3343"/>
    </row>
    <row r="27" spans="2:53">
      <c r="B27" s="3766"/>
      <c r="C27" s="3463" t="s">
        <v>762</v>
      </c>
      <c r="D27" s="2592"/>
      <c r="E27" s="2588"/>
      <c r="F27" s="3466"/>
      <c r="G27" s="3467"/>
      <c r="H27" s="3466"/>
      <c r="I27" s="3466"/>
      <c r="J27" s="3466"/>
      <c r="K27" s="3466"/>
      <c r="L27" s="3466"/>
      <c r="M27" s="3466"/>
      <c r="N27" s="3466"/>
      <c r="O27" s="3466"/>
      <c r="P27" s="3466"/>
      <c r="Q27" s="3045"/>
      <c r="R27" s="3045"/>
      <c r="S27" s="3045"/>
      <c r="T27" s="3045"/>
      <c r="U27" s="3045"/>
      <c r="V27" s="3045"/>
      <c r="W27" s="3045"/>
      <c r="X27" s="3045"/>
      <c r="Y27" s="3045"/>
      <c r="Z27" s="3135"/>
      <c r="AA27" s="3344"/>
      <c r="AB27" s="3135"/>
      <c r="AC27" s="3135"/>
      <c r="AD27" s="3135"/>
      <c r="AE27" s="3135"/>
      <c r="AF27" s="3135"/>
      <c r="AG27" s="3135"/>
      <c r="AH27" s="3468"/>
      <c r="AI27" s="3135"/>
      <c r="AJ27" s="3135"/>
      <c r="AK27" s="3135"/>
      <c r="AL27" s="3135"/>
      <c r="AM27" s="3135"/>
      <c r="AN27" s="3135"/>
      <c r="AO27" s="3481">
        <v>43720</v>
      </c>
      <c r="AP27" s="3135">
        <v>43725</v>
      </c>
      <c r="AQ27" s="3400">
        <v>43736</v>
      </c>
      <c r="AR27" s="3135">
        <v>43747</v>
      </c>
      <c r="AS27" s="3135">
        <v>43780</v>
      </c>
      <c r="AT27" s="3135">
        <v>43787</v>
      </c>
      <c r="AU27" s="3135">
        <v>43808</v>
      </c>
      <c r="AV27" s="3135">
        <v>43826</v>
      </c>
      <c r="AW27" s="3708">
        <v>43850</v>
      </c>
      <c r="AX27" s="3708">
        <v>43875</v>
      </c>
      <c r="AY27" s="3706"/>
      <c r="AZ27" s="3706"/>
      <c r="BA27" s="3344"/>
    </row>
    <row r="28" spans="2:53">
      <c r="B28" s="3767"/>
      <c r="C28" s="3464" t="s">
        <v>5068</v>
      </c>
      <c r="D28" s="2593"/>
      <c r="E28" s="2589"/>
      <c r="F28" s="2950"/>
      <c r="G28" s="3345"/>
      <c r="H28" s="2950"/>
      <c r="I28" s="2950"/>
      <c r="J28" s="2950"/>
      <c r="K28" s="2950"/>
      <c r="L28" s="2950"/>
      <c r="M28" s="2950"/>
      <c r="N28" s="2950"/>
      <c r="O28" s="2950"/>
      <c r="P28" s="2950"/>
      <c r="Q28" s="2950"/>
      <c r="R28" s="2950"/>
      <c r="S28" s="2950"/>
      <c r="T28" s="2950"/>
      <c r="U28" s="2950"/>
      <c r="V28" s="2950"/>
      <c r="W28" s="2950"/>
      <c r="X28" s="2950"/>
      <c r="Y28" s="2950"/>
      <c r="Z28" s="3136"/>
      <c r="AA28" s="3345"/>
      <c r="AB28" s="2950"/>
      <c r="AC28" s="2950"/>
      <c r="AD28" s="2950"/>
      <c r="AE28" s="2950"/>
      <c r="AF28" s="2950"/>
      <c r="AG28" s="2950"/>
      <c r="AH28" s="2950"/>
      <c r="AI28" s="2950"/>
      <c r="AJ28" s="2950"/>
      <c r="AK28" s="2950"/>
      <c r="AL28" s="2950"/>
      <c r="AM28" s="2950"/>
      <c r="AN28" s="2950"/>
      <c r="AO28" s="3479">
        <f>115132-12</f>
        <v>115120</v>
      </c>
      <c r="AP28" s="3469">
        <v>115132</v>
      </c>
      <c r="AQ28" s="3170">
        <v>115637</v>
      </c>
      <c r="AR28" s="3469">
        <v>116377</v>
      </c>
      <c r="AS28" s="3469">
        <v>116920</v>
      </c>
      <c r="AT28" s="3469">
        <v>116920</v>
      </c>
      <c r="AU28" s="3469">
        <v>118511</v>
      </c>
      <c r="AV28" s="3136">
        <v>119019</v>
      </c>
      <c r="AW28" s="3709">
        <v>119019</v>
      </c>
      <c r="AX28" s="3709">
        <v>119655</v>
      </c>
      <c r="AY28" s="3703"/>
      <c r="AZ28" s="3703"/>
      <c r="BA28" s="3345"/>
    </row>
    <row r="29" spans="2:53">
      <c r="B29" s="3767"/>
      <c r="C29" s="3464" t="s">
        <v>5069</v>
      </c>
      <c r="D29" s="2593"/>
      <c r="E29" s="2589"/>
      <c r="F29" s="2950"/>
      <c r="G29" s="3345"/>
      <c r="H29" s="2950"/>
      <c r="I29" s="2950"/>
      <c r="J29" s="2950"/>
      <c r="K29" s="2950"/>
      <c r="L29" s="2950"/>
      <c r="M29" s="2950"/>
      <c r="N29" s="2950"/>
      <c r="O29" s="2950"/>
      <c r="P29" s="2950"/>
      <c r="Q29" s="2950"/>
      <c r="R29" s="2950"/>
      <c r="S29" s="2950"/>
      <c r="T29" s="2950"/>
      <c r="U29" s="2950"/>
      <c r="V29" s="2950"/>
      <c r="W29" s="2950"/>
      <c r="X29" s="2950"/>
      <c r="Y29" s="2950"/>
      <c r="Z29" s="3136"/>
      <c r="AA29" s="3345"/>
      <c r="AB29" s="2950"/>
      <c r="AC29" s="2950"/>
      <c r="AD29" s="2950"/>
      <c r="AE29" s="2950"/>
      <c r="AF29" s="2950"/>
      <c r="AG29" s="2950"/>
      <c r="AH29" s="2950"/>
      <c r="AI29" s="2950"/>
      <c r="AJ29" s="2950"/>
      <c r="AK29" s="2950"/>
      <c r="AL29" s="2950"/>
      <c r="AM29" s="2950"/>
      <c r="AN29" s="2950"/>
      <c r="AO29" s="3479">
        <f>11694.1-1</f>
        <v>11693.1</v>
      </c>
      <c r="AP29" s="3469">
        <v>11694.1</v>
      </c>
      <c r="AQ29" s="3170">
        <v>11727</v>
      </c>
      <c r="AR29" s="3469">
        <v>11815.1</v>
      </c>
      <c r="AS29" s="3469">
        <v>11855.9</v>
      </c>
      <c r="AT29" s="3469">
        <v>11856</v>
      </c>
      <c r="AU29" s="3469">
        <v>11969.2</v>
      </c>
      <c r="AV29" s="3136">
        <v>12010.3</v>
      </c>
      <c r="AW29" s="3709">
        <v>12010.3</v>
      </c>
      <c r="AX29" s="3709">
        <v>12062.6</v>
      </c>
      <c r="AY29" s="3703"/>
      <c r="AZ29" s="3703"/>
      <c r="BA29" s="3345"/>
    </row>
    <row r="30" spans="2:53">
      <c r="B30" s="3767"/>
      <c r="C30" s="3464" t="s">
        <v>5070</v>
      </c>
      <c r="D30" s="2593"/>
      <c r="E30" s="2589"/>
      <c r="F30" s="2950"/>
      <c r="G30" s="3345"/>
      <c r="H30" s="2950"/>
      <c r="I30" s="2950"/>
      <c r="J30" s="2950"/>
      <c r="K30" s="2950"/>
      <c r="L30" s="2950"/>
      <c r="M30" s="2950"/>
      <c r="N30" s="2950"/>
      <c r="O30" s="2950"/>
      <c r="P30" s="2950"/>
      <c r="Q30" s="2950"/>
      <c r="R30" s="2950"/>
      <c r="S30" s="2950"/>
      <c r="T30" s="2950"/>
      <c r="U30" s="2950"/>
      <c r="V30" s="2950"/>
      <c r="W30" s="2950"/>
      <c r="X30" s="2950"/>
      <c r="Y30" s="2950"/>
      <c r="Z30" s="3136"/>
      <c r="AA30" s="3345"/>
      <c r="AB30" s="2950"/>
      <c r="AC30" s="2950"/>
      <c r="AD30" s="2950"/>
      <c r="AE30" s="2950"/>
      <c r="AF30" s="2950"/>
      <c r="AG30" s="2950"/>
      <c r="AH30" s="2950"/>
      <c r="AI30" s="2950"/>
      <c r="AJ30" s="2950"/>
      <c r="AK30" s="2950"/>
      <c r="AL30" s="2950"/>
      <c r="AM30" s="2950"/>
      <c r="AN30" s="2950"/>
      <c r="AO30" s="3479"/>
      <c r="AP30" s="2950">
        <f>+AP28-AO28</f>
        <v>12</v>
      </c>
      <c r="AQ30" s="3170">
        <f>+AQ28-AO28</f>
        <v>517</v>
      </c>
      <c r="AR30" s="2950">
        <f>+AR28-AQ28</f>
        <v>740</v>
      </c>
      <c r="AS30" s="2950">
        <f>+AS28-AQ28</f>
        <v>1283</v>
      </c>
      <c r="AT30" s="2950">
        <f>+AT28-AQ28</f>
        <v>1283</v>
      </c>
      <c r="AU30" s="2950">
        <f>+AU28-AQ28</f>
        <v>2874</v>
      </c>
      <c r="AV30" s="3136">
        <f t="shared" ref="AV30:AX31" si="36">+AV28-AQ28</f>
        <v>3382</v>
      </c>
      <c r="AW30" s="3709">
        <f t="shared" si="36"/>
        <v>2642</v>
      </c>
      <c r="AX30" s="3709">
        <f t="shared" si="36"/>
        <v>2735</v>
      </c>
      <c r="AY30" s="3703"/>
      <c r="AZ30" s="3703"/>
      <c r="BA30" s="3345"/>
    </row>
    <row r="31" spans="2:53" ht="13.5" thickBot="1">
      <c r="B31" s="3768"/>
      <c r="C31" s="3465" t="s">
        <v>5071</v>
      </c>
      <c r="D31" s="2594"/>
      <c r="E31" s="2590"/>
      <c r="F31" s="2952"/>
      <c r="G31" s="3346"/>
      <c r="H31" s="2952"/>
      <c r="I31" s="2952"/>
      <c r="J31" s="2952"/>
      <c r="K31" s="2952"/>
      <c r="L31" s="2952"/>
      <c r="M31" s="2952"/>
      <c r="N31" s="2952"/>
      <c r="O31" s="2952"/>
      <c r="P31" s="2952"/>
      <c r="Q31" s="2952"/>
      <c r="R31" s="2952"/>
      <c r="S31" s="2952"/>
      <c r="T31" s="2952"/>
      <c r="U31" s="2952"/>
      <c r="V31" s="2952"/>
      <c r="W31" s="2952"/>
      <c r="X31" s="2952"/>
      <c r="Y31" s="2952"/>
      <c r="Z31" s="3137"/>
      <c r="AA31" s="3346"/>
      <c r="AB31" s="2952"/>
      <c r="AC31" s="2952"/>
      <c r="AD31" s="2952"/>
      <c r="AE31" s="2952"/>
      <c r="AF31" s="2952"/>
      <c r="AG31" s="2952"/>
      <c r="AH31" s="2952"/>
      <c r="AI31" s="2952"/>
      <c r="AJ31" s="2952"/>
      <c r="AK31" s="2952"/>
      <c r="AL31" s="2952"/>
      <c r="AM31" s="2952"/>
      <c r="AN31" s="2952"/>
      <c r="AO31" s="3480"/>
      <c r="AP31" s="2952">
        <f>+AP29-AO29</f>
        <v>1</v>
      </c>
      <c r="AQ31" s="3171">
        <f>+AQ29-AO29</f>
        <v>33.899999999999636</v>
      </c>
      <c r="AR31" s="2952">
        <f>+AR29-AQ29</f>
        <v>88.100000000000364</v>
      </c>
      <c r="AS31" s="2952">
        <f>+AS29-AQ29</f>
        <v>128.89999999999964</v>
      </c>
      <c r="AT31" s="2952">
        <f>+AT29-AQ29</f>
        <v>129</v>
      </c>
      <c r="AU31" s="2952">
        <f>+AU29-AQ29</f>
        <v>242.20000000000073</v>
      </c>
      <c r="AV31" s="3137">
        <f t="shared" si="36"/>
        <v>283.29999999999927</v>
      </c>
      <c r="AW31" s="3710">
        <f t="shared" si="36"/>
        <v>195.19999999999891</v>
      </c>
      <c r="AX31" s="3710">
        <f t="shared" si="36"/>
        <v>206.70000000000073</v>
      </c>
      <c r="AY31" s="3704"/>
      <c r="AZ31" s="3704"/>
      <c r="BA31" s="3346"/>
    </row>
    <row r="33" spans="2:50">
      <c r="H33" s="492">
        <f>+H12/H13</f>
        <v>10.607046070460704</v>
      </c>
      <c r="I33" s="492">
        <f>+I12/I13</f>
        <v>10.792916097018267</v>
      </c>
      <c r="J33" s="492">
        <f t="shared" ref="J33:O33" si="37">+J6/J7</f>
        <v>14.18796992481203</v>
      </c>
      <c r="K33" s="492">
        <f t="shared" si="37"/>
        <v>14.176616915422885</v>
      </c>
      <c r="L33" s="492">
        <f t="shared" si="37"/>
        <v>14.257894736842106</v>
      </c>
      <c r="M33" s="492">
        <f t="shared" si="37"/>
        <v>14.464788732394366</v>
      </c>
      <c r="N33" s="492">
        <f t="shared" si="37"/>
        <v>14.2</v>
      </c>
      <c r="O33" s="492">
        <f t="shared" si="37"/>
        <v>15.054545454545455</v>
      </c>
      <c r="P33" s="492">
        <f>+P6/P7</f>
        <v>13.483870967741936</v>
      </c>
      <c r="Q33" s="492">
        <f>+Q6/Q7</f>
        <v>13.847457627118644</v>
      </c>
      <c r="R33" s="492">
        <f>+R6/R7</f>
        <v>14.12280701754386</v>
      </c>
      <c r="S33" s="492">
        <f t="shared" ref="S33:X33" si="38">+S6/S7</f>
        <v>14.046242774566474</v>
      </c>
      <c r="T33" s="492">
        <f t="shared" si="38"/>
        <v>13.43141592920354</v>
      </c>
      <c r="U33" s="492">
        <f t="shared" si="38"/>
        <v>12.850574712643677</v>
      </c>
      <c r="V33" s="492">
        <f t="shared" si="38"/>
        <v>13.216589861751151</v>
      </c>
      <c r="W33" s="492">
        <f t="shared" si="38"/>
        <v>12.885350318471337</v>
      </c>
      <c r="X33" s="492">
        <f t="shared" si="38"/>
        <v>13.071839080459769</v>
      </c>
      <c r="Y33" s="492">
        <f t="shared" ref="Y33:AI33" si="39">+Y6/Y7</f>
        <v>11.803611738148984</v>
      </c>
      <c r="Z33" s="492">
        <f t="shared" si="39"/>
        <v>18.813333333333333</v>
      </c>
      <c r="AA33" s="492">
        <f t="shared" si="39"/>
        <v>13.770773638968482</v>
      </c>
      <c r="AB33" s="492">
        <f t="shared" si="39"/>
        <v>13.627039627039627</v>
      </c>
      <c r="AC33" s="492">
        <f t="shared" si="39"/>
        <v>14.257575757575758</v>
      </c>
      <c r="AD33" s="492">
        <f t="shared" si="39"/>
        <v>14.024630541871922</v>
      </c>
      <c r="AE33" s="492">
        <f t="shared" si="39"/>
        <v>10.012422360248447</v>
      </c>
      <c r="AF33" s="492">
        <f t="shared" si="39"/>
        <v>10.611353711790393</v>
      </c>
      <c r="AG33" s="492">
        <f t="shared" si="39"/>
        <v>12.377483443708609</v>
      </c>
      <c r="AH33" s="492">
        <f t="shared" si="39"/>
        <v>12.841463414634147</v>
      </c>
      <c r="AI33" s="492">
        <f t="shared" si="39"/>
        <v>13.024793388429751</v>
      </c>
      <c r="AJ33" s="492">
        <f>+AJ6/AJ7</f>
        <v>13.274285714285714</v>
      </c>
      <c r="AK33" s="492">
        <f>+AK6/AK7</f>
        <v>13.274285714285714</v>
      </c>
      <c r="AL33" s="492">
        <f>+AL6/AL7</f>
        <v>13.583710407239819</v>
      </c>
      <c r="AM33" s="492">
        <f t="shared" ref="AM33:AS33" si="40">+AM6/AM7</f>
        <v>13.548309178743962</v>
      </c>
      <c r="AN33" s="492">
        <f t="shared" si="40"/>
        <v>13.173913043478262</v>
      </c>
      <c r="AO33" s="492">
        <f t="shared" si="40"/>
        <v>13.435483870967742</v>
      </c>
      <c r="AP33" s="492">
        <f t="shared" si="40"/>
        <v>13.77570093457944</v>
      </c>
      <c r="AQ33" s="492">
        <f t="shared" si="40"/>
        <v>13.752941176470589</v>
      </c>
      <c r="AR33" s="492">
        <f t="shared" si="40"/>
        <v>13.883084577114428</v>
      </c>
      <c r="AS33" s="492">
        <f t="shared" si="40"/>
        <v>13.704954954954955</v>
      </c>
      <c r="AT33" s="492">
        <f t="shared" ref="AT33:AW33" si="41">+AT6/AT7</f>
        <v>13.701123595505617</v>
      </c>
      <c r="AU33" s="492">
        <f t="shared" si="41"/>
        <v>14.75</v>
      </c>
      <c r="AV33" s="492">
        <f t="shared" si="41"/>
        <v>14.06875</v>
      </c>
      <c r="AW33" s="492">
        <f t="shared" si="41"/>
        <v>14.06875</v>
      </c>
      <c r="AX33" s="492">
        <f t="shared" ref="AX33" si="42">+AX6/AX7</f>
        <v>13.309859154929578</v>
      </c>
    </row>
    <row r="34" spans="2:50">
      <c r="I34" s="492"/>
      <c r="J34" s="492"/>
      <c r="K34" s="492"/>
      <c r="L34" s="492"/>
      <c r="M34" s="492"/>
      <c r="N34" s="492"/>
      <c r="O34" s="492"/>
      <c r="P34" s="492"/>
      <c r="Q34" s="492"/>
      <c r="R34" s="492"/>
      <c r="S34" s="492"/>
      <c r="T34" s="492"/>
      <c r="U34" s="492"/>
      <c r="V34" s="492"/>
      <c r="W34" s="492"/>
      <c r="X34" s="492"/>
      <c r="Y34" s="492"/>
      <c r="Z34" s="492"/>
      <c r="AA34" s="492"/>
      <c r="AB34" s="492"/>
      <c r="AC34" s="492"/>
      <c r="AD34" s="492"/>
      <c r="AE34" s="492"/>
      <c r="AF34" s="492"/>
      <c r="AG34" s="492"/>
      <c r="AH34" s="492"/>
      <c r="AI34" s="492"/>
      <c r="AJ34" s="492"/>
      <c r="AK34" s="492"/>
      <c r="AL34" s="492"/>
      <c r="AM34" s="492"/>
      <c r="AN34" s="492"/>
      <c r="AO34" s="492"/>
      <c r="AP34" s="492"/>
      <c r="AQ34" s="492"/>
      <c r="AR34" s="492"/>
      <c r="AS34" s="492"/>
      <c r="AT34" s="492"/>
      <c r="AU34" s="492"/>
      <c r="AV34" s="492"/>
      <c r="AW34" s="492"/>
      <c r="AX34" s="492"/>
    </row>
    <row r="35" spans="2:50">
      <c r="H35" s="492">
        <f t="shared" ref="H35:R35" si="43">+H18/H19</f>
        <v>21.933792191659592</v>
      </c>
      <c r="I35" s="492">
        <f t="shared" si="43"/>
        <v>17.342970888551228</v>
      </c>
      <c r="J35" s="492">
        <f t="shared" si="43"/>
        <v>17.29253416575208</v>
      </c>
      <c r="K35" s="492">
        <f t="shared" si="43"/>
        <v>16.145886442941393</v>
      </c>
      <c r="L35" s="492">
        <f t="shared" si="43"/>
        <v>16.07132427739058</v>
      </c>
      <c r="M35" s="492">
        <f t="shared" si="43"/>
        <v>15.241547282538622</v>
      </c>
      <c r="N35" s="492">
        <f t="shared" si="43"/>
        <v>15.178751347177807</v>
      </c>
      <c r="O35" s="492">
        <f t="shared" si="43"/>
        <v>15.140951911965645</v>
      </c>
      <c r="P35" s="492">
        <f t="shared" si="43"/>
        <v>14.924208688768893</v>
      </c>
      <c r="Q35" s="492">
        <f t="shared" si="43"/>
        <v>15.046398560490063</v>
      </c>
      <c r="R35" s="492">
        <f t="shared" si="43"/>
        <v>15.042834704617821</v>
      </c>
      <c r="S35" s="492">
        <f t="shared" ref="S35:X35" si="44">+S18/S19</f>
        <v>14.842941001056801</v>
      </c>
      <c r="T35" s="492">
        <f t="shared" si="44"/>
        <v>14.562885891091476</v>
      </c>
      <c r="U35" s="492">
        <f t="shared" si="44"/>
        <v>14.293233320405017</v>
      </c>
      <c r="V35" s="492">
        <f t="shared" si="44"/>
        <v>14.314072529993904</v>
      </c>
      <c r="W35" s="492">
        <f t="shared" si="44"/>
        <v>14.087618755479497</v>
      </c>
      <c r="X35" s="492">
        <f t="shared" si="44"/>
        <v>14.08743281140484</v>
      </c>
      <c r="Y35" s="492">
        <f t="shared" ref="Y35:AI35" si="45">+Y18/Y19</f>
        <v>13.605484843645252</v>
      </c>
      <c r="Z35" s="492" t="e">
        <f t="shared" si="45"/>
        <v>#REF!</v>
      </c>
      <c r="AA35" s="492" t="e">
        <f t="shared" si="45"/>
        <v>#REF!</v>
      </c>
      <c r="AB35" s="492" t="e">
        <f t="shared" si="45"/>
        <v>#REF!</v>
      </c>
      <c r="AC35" s="492" t="e">
        <f t="shared" si="45"/>
        <v>#REF!</v>
      </c>
      <c r="AD35" s="492" t="e">
        <f t="shared" si="45"/>
        <v>#REF!</v>
      </c>
      <c r="AE35" s="492" t="e">
        <f t="shared" si="45"/>
        <v>#REF!</v>
      </c>
      <c r="AF35" s="492" t="e">
        <f t="shared" si="45"/>
        <v>#REF!</v>
      </c>
      <c r="AG35" s="492" t="e">
        <f t="shared" si="45"/>
        <v>#REF!</v>
      </c>
      <c r="AH35" s="492" t="e">
        <f t="shared" si="45"/>
        <v>#REF!</v>
      </c>
      <c r="AI35" s="492" t="e">
        <f t="shared" si="45"/>
        <v>#REF!</v>
      </c>
      <c r="AJ35" s="492" t="e">
        <f>+AJ18/AJ19</f>
        <v>#REF!</v>
      </c>
      <c r="AK35" s="492">
        <f>+AK18/AK19</f>
        <v>13.253846153845258</v>
      </c>
      <c r="AL35" s="492">
        <f>+AL18/AL19</f>
        <v>11.798426745329545</v>
      </c>
      <c r="AM35" s="492">
        <f t="shared" ref="AM35:AS35" si="46">+AM18/AM19</f>
        <v>12.003109882515329</v>
      </c>
      <c r="AN35" s="492">
        <f t="shared" si="46"/>
        <v>11.745762711864407</v>
      </c>
      <c r="AO35" s="492">
        <f t="shared" si="46"/>
        <v>11.738527871881711</v>
      </c>
      <c r="AP35" s="492">
        <f t="shared" si="46"/>
        <v>11.980456922653419</v>
      </c>
      <c r="AQ35" s="492">
        <f t="shared" si="46"/>
        <v>11.993149009053017</v>
      </c>
      <c r="AR35" s="492">
        <f t="shared" si="46"/>
        <v>12.222665148063843</v>
      </c>
      <c r="AS35" s="492">
        <f t="shared" si="46"/>
        <v>12.234415697169496</v>
      </c>
      <c r="AT35" s="492">
        <f t="shared" ref="AT35:AW35" si="47">+AT18/AT19</f>
        <v>12.282662590917694</v>
      </c>
      <c r="AU35" s="492">
        <f t="shared" si="47"/>
        <v>12.510525032572774</v>
      </c>
      <c r="AV35" s="492">
        <f t="shared" si="47"/>
        <v>12.509481699087891</v>
      </c>
      <c r="AW35" s="492">
        <f t="shared" si="47"/>
        <v>12.509481699087891</v>
      </c>
      <c r="AX35" s="492">
        <f t="shared" ref="AX35" si="48">+AX18/AX19</f>
        <v>12.339087539608634</v>
      </c>
    </row>
    <row r="36" spans="2:50">
      <c r="H36" s="492">
        <f t="shared" ref="H36:R36" si="49">+H24/H25</f>
        <v>18.243838150860231</v>
      </c>
      <c r="I36" s="492">
        <f t="shared" si="49"/>
        <v>14.811261333622623</v>
      </c>
      <c r="J36" s="492">
        <f t="shared" si="49"/>
        <v>14.752832761583692</v>
      </c>
      <c r="K36" s="492">
        <f t="shared" si="49"/>
        <v>14.281194301426675</v>
      </c>
      <c r="L36" s="492">
        <f t="shared" si="49"/>
        <v>14.236727064426654</v>
      </c>
      <c r="M36" s="492">
        <f t="shared" si="49"/>
        <v>13.866993331277026</v>
      </c>
      <c r="N36" s="492">
        <f t="shared" si="49"/>
        <v>13.911318644928928</v>
      </c>
      <c r="O36" s="492">
        <f t="shared" si="49"/>
        <v>13.901092171260174</v>
      </c>
      <c r="P36" s="492">
        <f t="shared" si="49"/>
        <v>13.945573648303087</v>
      </c>
      <c r="Q36" s="492">
        <f t="shared" si="49"/>
        <v>13.971272274090797</v>
      </c>
      <c r="R36" s="492">
        <f t="shared" si="49"/>
        <v>13.965222291981954</v>
      </c>
      <c r="S36" s="492">
        <f t="shared" ref="S36:X36" si="50">+S24/S25</f>
        <v>13.768298826986408</v>
      </c>
      <c r="T36" s="492">
        <f t="shared" si="50"/>
        <v>13.359819370843841</v>
      </c>
      <c r="U36" s="492">
        <f t="shared" si="50"/>
        <v>13.134087596847287</v>
      </c>
      <c r="V36" s="492">
        <f t="shared" si="50"/>
        <v>13.09760140237827</v>
      </c>
      <c r="W36" s="492">
        <f t="shared" si="50"/>
        <v>13.162845095176596</v>
      </c>
      <c r="X36" s="492">
        <f t="shared" si="50"/>
        <v>13.156618814140367</v>
      </c>
      <c r="Y36" s="492">
        <f t="shared" ref="Y36:AI36" si="51">+Y24/Y25</f>
        <v>14.014198478321024</v>
      </c>
      <c r="Z36" s="492">
        <f t="shared" si="51"/>
        <v>2.6672185468161045</v>
      </c>
      <c r="AA36" s="492">
        <f t="shared" si="51"/>
        <v>6.222415623318442</v>
      </c>
      <c r="AB36" s="492">
        <f t="shared" si="51"/>
        <v>6.7782204901706358</v>
      </c>
      <c r="AC36" s="492">
        <f t="shared" si="51"/>
        <v>7.1781497141783452</v>
      </c>
      <c r="AD36" s="492">
        <f t="shared" si="51"/>
        <v>9.1528659518049107</v>
      </c>
      <c r="AE36" s="492">
        <f t="shared" si="51"/>
        <v>9.3422080186837206</v>
      </c>
      <c r="AF36" s="492">
        <f t="shared" si="51"/>
        <v>9.7121116172443163</v>
      </c>
      <c r="AG36" s="492">
        <f t="shared" si="51"/>
        <v>9.9000050580174914</v>
      </c>
      <c r="AH36" s="492">
        <f t="shared" si="51"/>
        <v>9.8719060010765851</v>
      </c>
      <c r="AI36" s="492">
        <f t="shared" si="51"/>
        <v>12.97102272727286</v>
      </c>
      <c r="AJ36" s="492">
        <f>+AJ24/AJ25</f>
        <v>12.712836519703373</v>
      </c>
      <c r="AK36" s="492">
        <f>+AK24/AK25</f>
        <v>12.712836519703373</v>
      </c>
      <c r="AL36" s="492">
        <f>+AL24/AL25</f>
        <v>12.449107732980933</v>
      </c>
      <c r="AM36" s="492">
        <f t="shared" ref="AM36:AS36" si="52">+AM24/AM25</f>
        <v>11.82003635629172</v>
      </c>
      <c r="AN36" s="492">
        <f t="shared" si="52"/>
        <v>11.740937559309153</v>
      </c>
      <c r="AO36" s="492">
        <f t="shared" si="52"/>
        <v>11.734256449165365</v>
      </c>
      <c r="AP36" s="492">
        <f t="shared" si="52"/>
        <v>11.937095614665695</v>
      </c>
      <c r="AQ36" s="492">
        <f t="shared" si="52"/>
        <v>11.951359318702908</v>
      </c>
      <c r="AR36" s="492">
        <f t="shared" si="52"/>
        <v>14.413752913753171</v>
      </c>
      <c r="AS36" s="492">
        <f t="shared" si="52"/>
        <v>12.54580446497318</v>
      </c>
      <c r="AT36" s="492">
        <f t="shared" ref="AT36:AW36" si="53">+AT24/AT25</f>
        <v>12.526518063028494</v>
      </c>
      <c r="AU36" s="492">
        <f t="shared" si="53"/>
        <v>12.789894736842252</v>
      </c>
      <c r="AV36" s="492">
        <f t="shared" si="53"/>
        <v>12.782217422606308</v>
      </c>
      <c r="AW36" s="492">
        <f t="shared" si="53"/>
        <v>8.3304535637149666</v>
      </c>
      <c r="AX36" s="492">
        <f t="shared" ref="AX36" si="54">+AX24/AX25</f>
        <v>8.3890743550834959</v>
      </c>
    </row>
    <row r="38" spans="2:50" ht="15">
      <c r="B38" s="3562" t="s">
        <v>5360</v>
      </c>
      <c r="C38" s="3563"/>
      <c r="D38" s="3563"/>
      <c r="E38" s="3563"/>
      <c r="F38" s="3563"/>
      <c r="G38" s="3563"/>
      <c r="H38" s="3563"/>
      <c r="I38" s="3563"/>
      <c r="J38" s="3564"/>
      <c r="K38" s="3565">
        <v>12000</v>
      </c>
      <c r="L38" s="3565" t="e">
        <f>+#REF!*K40/K38</f>
        <v>#REF!</v>
      </c>
      <c r="M38" s="3565"/>
      <c r="N38" s="3565"/>
      <c r="O38" s="3565"/>
      <c r="P38" s="3565"/>
      <c r="Q38" s="3565"/>
      <c r="R38" s="3565"/>
      <c r="S38" s="3565"/>
      <c r="T38" s="3565"/>
      <c r="U38" s="3565"/>
      <c r="V38" s="3565"/>
      <c r="W38" s="3565"/>
      <c r="X38" s="3566" t="e">
        <f>+#REF!-#REF!</f>
        <v>#REF!</v>
      </c>
      <c r="Y38" s="3565"/>
      <c r="Z38" s="3565"/>
      <c r="AA38" s="3565"/>
      <c r="AB38" s="3565" t="e">
        <f>+#REF!-#REF!</f>
        <v>#REF!</v>
      </c>
      <c r="AC38" s="3565"/>
      <c r="AD38" s="3565"/>
      <c r="AE38" s="3565"/>
      <c r="AF38" s="3565"/>
      <c r="AG38" s="3565"/>
      <c r="AH38" s="3565"/>
      <c r="AI38" s="3565"/>
      <c r="AJ38" s="3564"/>
      <c r="AK38" s="3567"/>
      <c r="AO38" s="2639"/>
      <c r="AP38" s="2639"/>
    </row>
    <row r="39" spans="2:50" ht="18">
      <c r="B39" s="3568" t="s">
        <v>5450</v>
      </c>
      <c r="C39" s="3569"/>
      <c r="D39" s="3569"/>
      <c r="E39" s="3569"/>
      <c r="F39" s="3569"/>
      <c r="G39" s="3569"/>
      <c r="H39" s="3569"/>
      <c r="I39" s="3569"/>
      <c r="J39" s="3570"/>
      <c r="K39" s="75">
        <v>2400</v>
      </c>
      <c r="L39" s="75"/>
      <c r="M39" s="75"/>
      <c r="N39" s="75"/>
      <c r="O39" s="75"/>
      <c r="P39" s="75"/>
      <c r="Q39" s="75"/>
      <c r="R39" s="75"/>
      <c r="S39" s="75"/>
      <c r="T39" s="75"/>
      <c r="U39" s="75"/>
      <c r="V39" s="75"/>
      <c r="W39" s="75"/>
      <c r="X39" s="75"/>
      <c r="Y39" s="75"/>
      <c r="Z39" s="75"/>
      <c r="AA39" s="3571" t="e">
        <f>+AA16-Z16</f>
        <v>#REF!</v>
      </c>
      <c r="AB39" s="75">
        <v>13205.4</v>
      </c>
      <c r="AC39" s="75"/>
      <c r="AD39" s="75"/>
      <c r="AE39" s="75"/>
      <c r="AF39" s="75"/>
      <c r="AG39" s="75"/>
      <c r="AH39" s="75"/>
      <c r="AI39" s="75"/>
      <c r="AJ39" s="3570"/>
      <c r="AK39" s="3572"/>
      <c r="AO39" s="2639"/>
      <c r="AP39" s="2639"/>
    </row>
    <row r="40" spans="2:50" ht="15">
      <c r="B40" s="3568" t="s">
        <v>5449</v>
      </c>
      <c r="C40" s="3569"/>
      <c r="D40" s="3569"/>
      <c r="E40" s="3569"/>
      <c r="F40" s="3569"/>
      <c r="G40" s="3569"/>
      <c r="H40" s="3569"/>
      <c r="I40" s="3569"/>
      <c r="J40" s="3570"/>
      <c r="K40" s="75">
        <v>400</v>
      </c>
      <c r="L40" s="75"/>
      <c r="M40" s="75"/>
      <c r="N40" s="75"/>
      <c r="O40" s="75"/>
      <c r="P40" s="75"/>
      <c r="Q40" s="75"/>
      <c r="R40" s="75"/>
      <c r="S40" s="75"/>
      <c r="T40" s="75"/>
      <c r="U40" s="75"/>
      <c r="V40" s="75"/>
      <c r="W40" s="75"/>
      <c r="X40" s="3164">
        <v>503.6</v>
      </c>
      <c r="Y40" s="75"/>
      <c r="Z40" s="75"/>
      <c r="AA40" s="75"/>
      <c r="AB40" s="75" t="e">
        <f>+AB39+AB38</f>
        <v>#REF!</v>
      </c>
      <c r="AC40" s="75"/>
      <c r="AD40" s="75"/>
      <c r="AE40" s="75"/>
      <c r="AF40" s="75"/>
      <c r="AG40" s="75"/>
      <c r="AH40" s="75"/>
      <c r="AI40" s="75"/>
      <c r="AJ40" s="3570"/>
      <c r="AK40" s="3572"/>
      <c r="AO40" s="2639"/>
      <c r="AP40" s="2639"/>
    </row>
    <row r="41" spans="2:50" ht="15.75">
      <c r="B41" s="3573" t="s">
        <v>5451</v>
      </c>
      <c r="C41" s="3574"/>
      <c r="D41" s="3574"/>
      <c r="E41" s="3574"/>
      <c r="F41" s="3574"/>
      <c r="G41" s="3574"/>
      <c r="H41" s="3574"/>
      <c r="I41" s="3574"/>
      <c r="J41" s="3575"/>
      <c r="K41" s="3576">
        <f>+K38/K40</f>
        <v>30</v>
      </c>
      <c r="L41" s="3576"/>
      <c r="M41" s="3576"/>
      <c r="N41" s="3576"/>
      <c r="O41" s="3576"/>
      <c r="P41" s="3576"/>
      <c r="Q41" s="3576"/>
      <c r="R41" s="3576"/>
      <c r="S41" s="3576"/>
      <c r="T41" s="3576"/>
      <c r="U41" s="3576"/>
      <c r="V41" s="3576"/>
      <c r="W41" s="3576"/>
      <c r="X41" s="3577">
        <v>501</v>
      </c>
      <c r="Y41" s="3576"/>
      <c r="Z41" s="3576"/>
      <c r="AA41" s="3576"/>
      <c r="AB41" s="3576"/>
      <c r="AC41" s="3576"/>
      <c r="AD41" s="3576"/>
      <c r="AE41" s="3576"/>
      <c r="AF41" s="3576"/>
      <c r="AG41" s="3576"/>
      <c r="AH41" s="3576"/>
      <c r="AI41" s="3576"/>
      <c r="AJ41" s="3575"/>
      <c r="AK41" s="3578"/>
      <c r="AO41" s="2639"/>
      <c r="AP41" s="2639"/>
    </row>
    <row r="43" spans="2:50">
      <c r="B43" s="3198" t="s">
        <v>5387</v>
      </c>
      <c r="C43" s="2787"/>
    </row>
    <row r="44" spans="2:50">
      <c r="B44" s="3198" t="s">
        <v>5333</v>
      </c>
      <c r="C44" s="2787"/>
    </row>
    <row r="45" spans="2:50">
      <c r="B45" s="3198" t="s">
        <v>5388</v>
      </c>
      <c r="C45" s="2787"/>
    </row>
    <row r="46" spans="2:50">
      <c r="B46" s="2396" t="s">
        <v>5335</v>
      </c>
      <c r="C46" s="2396" t="s">
        <v>5337</v>
      </c>
    </row>
    <row r="47" spans="2:50">
      <c r="B47" s="2396" t="s">
        <v>5334</v>
      </c>
      <c r="C47" s="2396" t="s">
        <v>5338</v>
      </c>
    </row>
    <row r="48" spans="2:50">
      <c r="B48" s="2396" t="s">
        <v>5336</v>
      </c>
      <c r="C48" s="2396" t="s">
        <v>5339</v>
      </c>
    </row>
    <row r="50" spans="2:36">
      <c r="B50" s="3579" t="s">
        <v>5360</v>
      </c>
      <c r="C50" s="3579"/>
      <c r="D50" s="3579"/>
      <c r="E50" s="3579"/>
      <c r="F50" s="3579"/>
      <c r="G50" s="3579"/>
      <c r="H50" s="3579"/>
      <c r="I50" s="3579"/>
      <c r="J50" s="3580"/>
      <c r="K50" s="3580"/>
      <c r="L50" s="3580"/>
      <c r="M50" s="3580"/>
      <c r="N50" s="3580"/>
      <c r="O50" s="3580"/>
      <c r="P50" s="3580"/>
      <c r="Q50" s="3580"/>
      <c r="R50" s="3580"/>
      <c r="S50" s="3580"/>
      <c r="T50" s="3580"/>
      <c r="U50" s="3580"/>
      <c r="V50" s="3580"/>
      <c r="W50" s="3580"/>
      <c r="X50" s="3580"/>
      <c r="Y50" s="3580"/>
      <c r="Z50" s="3580"/>
      <c r="AA50" s="3580"/>
      <c r="AB50" s="3580"/>
      <c r="AC50" s="3580"/>
      <c r="AD50" s="3580"/>
      <c r="AE50" s="3580"/>
      <c r="AF50" s="3580"/>
      <c r="AG50" s="3580"/>
      <c r="AH50" s="3580"/>
      <c r="AI50" s="3580"/>
      <c r="AJ50" s="3579"/>
    </row>
    <row r="51" spans="2:36">
      <c r="B51" s="3579" t="s">
        <v>5908</v>
      </c>
      <c r="C51" s="3579"/>
      <c r="D51" s="3579"/>
      <c r="E51" s="3579"/>
      <c r="F51" s="3579"/>
      <c r="G51" s="3579"/>
      <c r="H51" s="3579"/>
      <c r="I51" s="3579"/>
      <c r="J51" s="3580"/>
      <c r="K51" s="3580"/>
      <c r="L51" s="3580"/>
      <c r="M51" s="3580"/>
      <c r="N51" s="3580"/>
      <c r="O51" s="3580"/>
      <c r="P51" s="3580"/>
      <c r="Q51" s="3580"/>
      <c r="R51" s="3580"/>
      <c r="S51" s="3580"/>
      <c r="T51" s="3580"/>
      <c r="U51" s="3580"/>
      <c r="V51" s="3580"/>
      <c r="W51" s="3580"/>
      <c r="X51" s="3580"/>
      <c r="Y51" s="3580"/>
      <c r="Z51" s="3580"/>
      <c r="AA51" s="3580"/>
      <c r="AB51" s="3580"/>
      <c r="AC51" s="3580"/>
      <c r="AD51" s="3580"/>
      <c r="AE51" s="3580"/>
      <c r="AF51" s="3580"/>
      <c r="AG51" s="3580"/>
      <c r="AH51" s="3580"/>
      <c r="AI51" s="3580"/>
      <c r="AJ51" s="3579"/>
    </row>
    <row r="52" spans="2:36">
      <c r="B52" s="3579" t="s">
        <v>5385</v>
      </c>
      <c r="C52" s="3579"/>
      <c r="D52" s="3579"/>
      <c r="E52" s="3579"/>
      <c r="F52" s="3579"/>
      <c r="G52" s="3579"/>
      <c r="H52" s="3579"/>
      <c r="I52" s="3579"/>
      <c r="J52" s="3580"/>
      <c r="K52" s="3580"/>
      <c r="L52" s="3580"/>
      <c r="M52" s="3580"/>
      <c r="N52" s="3580"/>
      <c r="O52" s="3580"/>
      <c r="P52" s="3580"/>
      <c r="Q52" s="3580"/>
      <c r="R52" s="3580"/>
      <c r="S52" s="3580"/>
      <c r="T52" s="3580"/>
      <c r="U52" s="3580"/>
      <c r="V52" s="3580"/>
      <c r="W52" s="3580"/>
      <c r="X52" s="3580"/>
      <c r="Y52" s="3580"/>
      <c r="Z52" s="3580"/>
      <c r="AA52" s="3580"/>
      <c r="AB52" s="3580"/>
      <c r="AC52" s="3580"/>
      <c r="AD52" s="3580"/>
      <c r="AE52" s="3580"/>
      <c r="AF52" s="3580"/>
      <c r="AG52" s="3580"/>
      <c r="AH52" s="3580"/>
      <c r="AI52" s="3580"/>
      <c r="AJ52" s="3579"/>
    </row>
    <row r="53" spans="2:36">
      <c r="B53" s="3579" t="s">
        <v>5386</v>
      </c>
      <c r="C53" s="3579"/>
      <c r="D53" s="3579"/>
      <c r="E53" s="3579"/>
      <c r="F53" s="3579"/>
      <c r="G53" s="3579"/>
      <c r="H53" s="3579"/>
      <c r="I53" s="3579"/>
      <c r="J53" s="3580"/>
      <c r="K53" s="3580"/>
      <c r="L53" s="3580"/>
      <c r="M53" s="3580"/>
      <c r="N53" s="3580"/>
      <c r="O53" s="3580"/>
      <c r="P53" s="3580"/>
      <c r="Q53" s="3580"/>
      <c r="R53" s="3580"/>
      <c r="S53" s="3580"/>
      <c r="T53" s="3580"/>
      <c r="U53" s="3580"/>
      <c r="V53" s="3580"/>
      <c r="W53" s="3580"/>
      <c r="X53" s="3580"/>
      <c r="Y53" s="3580"/>
      <c r="Z53" s="3580"/>
      <c r="AA53" s="3580"/>
      <c r="AB53" s="3580"/>
      <c r="AC53" s="3580"/>
      <c r="AD53" s="3580"/>
      <c r="AE53" s="3580"/>
      <c r="AF53" s="3580"/>
      <c r="AG53" s="3580"/>
      <c r="AH53" s="3580"/>
      <c r="AI53" s="3580"/>
      <c r="AJ53" s="3579"/>
    </row>
  </sheetData>
  <mergeCells count="5">
    <mergeCell ref="B2:B7"/>
    <mergeCell ref="B8:B13"/>
    <mergeCell ref="B14:B19"/>
    <mergeCell ref="B20:B25"/>
    <mergeCell ref="B26:B31"/>
  </mergeCells>
  <printOptions horizontalCentered="1"/>
  <pageMargins left="0" right="0" top="0.74803149606299213" bottom="0.74803149606299213" header="0.31496062992125984" footer="0.31496062992125984"/>
  <pageSetup scale="72" orientation="landscape" horizontalDpi="120" verticalDpi="72" r:id="rId1"/>
  <headerFooter>
    <oddHeader>&amp;R&amp;F &amp;A</oddHeader>
  </headerFooter>
  <ignoredErrors>
    <ignoredError sqref="K6:K7 AC6:AC7 AQ30:AQ31 AR30:AR31" formula="1"/>
    <ignoredError sqref="U33:X36 AQ33:AS36 AT33:AW36" evalError="1"/>
  </ignoredErrors>
  <legacyDrawing r:id="rId2"/>
</worksheet>
</file>

<file path=xl/worksheets/sheet7.xml><?xml version="1.0" encoding="utf-8"?>
<worksheet xmlns="http://schemas.openxmlformats.org/spreadsheetml/2006/main" xmlns:r="http://schemas.openxmlformats.org/officeDocument/2006/relationships">
  <sheetPr codeName="Hoja9"/>
  <dimension ref="A1:AR306"/>
  <sheetViews>
    <sheetView tabSelected="1" zoomScale="95" zoomScaleNormal="95" zoomScaleSheetLayoutView="100" zoomScalePageLayoutView="70" workbookViewId="0">
      <selection activeCell="J30" sqref="J30"/>
    </sheetView>
  </sheetViews>
  <sheetFormatPr baseColWidth="10" defaultRowHeight="15"/>
  <cols>
    <col min="1" max="1" width="2.28515625" style="2143" customWidth="1"/>
    <col min="2" max="2" width="13.85546875" style="8" customWidth="1"/>
    <col min="3" max="3" width="11.85546875" style="8" bestFit="1" customWidth="1"/>
    <col min="4" max="4" width="12.7109375" style="8" customWidth="1"/>
    <col min="5" max="5" width="13.7109375" customWidth="1"/>
    <col min="6" max="9" width="13.85546875" customWidth="1"/>
    <col min="10" max="10" width="11.85546875" customWidth="1"/>
    <col min="11" max="11" width="14.7109375" customWidth="1"/>
    <col min="12" max="12" width="13.5703125" customWidth="1"/>
    <col min="13" max="14" width="12.7109375" customWidth="1"/>
    <col min="15" max="15" width="12.85546875" customWidth="1"/>
    <col min="16" max="16" width="10.85546875" customWidth="1"/>
    <col min="17" max="17" width="19.5703125" customWidth="1"/>
    <col min="18" max="18" width="16.140625" bestFit="1" customWidth="1"/>
    <col min="19" max="19" width="15.7109375" style="73" customWidth="1"/>
    <col min="20" max="20" width="15.7109375" customWidth="1"/>
    <col min="21" max="21" width="10.140625" bestFit="1" customWidth="1"/>
    <col min="22" max="22" width="13.5703125" bestFit="1" customWidth="1"/>
    <col min="23" max="23" width="16.85546875" bestFit="1" customWidth="1"/>
    <col min="24" max="25" width="20.7109375" customWidth="1"/>
    <col min="28" max="28" width="17.7109375" customWidth="1"/>
    <col min="29" max="29" width="9.140625" bestFit="1" customWidth="1"/>
    <col min="30" max="30" width="16.7109375" customWidth="1"/>
    <col min="31" max="31" width="17.7109375" customWidth="1"/>
    <col min="32" max="32" width="9.140625" bestFit="1" customWidth="1"/>
    <col min="33" max="33" width="16.7109375" customWidth="1"/>
    <col min="34" max="34" width="8.85546875" style="890" bestFit="1" customWidth="1"/>
    <col min="35" max="35" width="17.7109375" customWidth="1"/>
    <col min="36" max="37" width="18.7109375" customWidth="1"/>
    <col min="38" max="38" width="3.140625" bestFit="1" customWidth="1"/>
    <col min="39" max="39" width="25.7109375" style="2063" customWidth="1"/>
    <col min="40" max="40" width="15.7109375" customWidth="1"/>
    <col min="41" max="41" width="17.85546875" bestFit="1" customWidth="1"/>
    <col min="42" max="42" width="20.7109375" customWidth="1"/>
    <col min="43" max="43" width="10.28515625" customWidth="1"/>
    <col min="44" max="44" width="35.7109375" bestFit="1" customWidth="1"/>
  </cols>
  <sheetData>
    <row r="1" spans="1:44" ht="18" customHeight="1" thickBot="1">
      <c r="A1" s="1445"/>
      <c r="B1" s="3775">
        <f ca="1">+VENCIMIENTOS!A1</f>
        <v>43895</v>
      </c>
      <c r="C1" s="3776"/>
      <c r="D1" s="3776"/>
      <c r="E1" s="3776"/>
      <c r="F1" s="3776"/>
      <c r="G1" s="3776"/>
      <c r="H1" s="3776"/>
      <c r="I1" s="3776"/>
      <c r="J1" s="3776"/>
      <c r="K1" s="3776"/>
      <c r="L1" s="3776"/>
      <c r="M1" s="3776"/>
      <c r="N1" s="3776"/>
      <c r="O1" s="3776"/>
      <c r="P1" s="3776"/>
      <c r="Q1" s="3776"/>
      <c r="R1" s="3776"/>
      <c r="S1" s="3776"/>
      <c r="T1" s="3776"/>
      <c r="U1" s="3777"/>
      <c r="V1" s="75"/>
      <c r="AB1" s="2050" t="s">
        <v>3971</v>
      </c>
      <c r="AC1" s="2050"/>
      <c r="AD1" s="2049"/>
      <c r="AE1" s="2049"/>
      <c r="AF1" s="2049"/>
      <c r="AG1" s="2049"/>
      <c r="AH1" s="2106"/>
      <c r="AI1" s="2049"/>
      <c r="AJ1" s="2049"/>
      <c r="AK1" s="2049"/>
      <c r="AL1" s="2049"/>
      <c r="AM1" s="3803" t="s">
        <v>3155</v>
      </c>
      <c r="AN1" s="3804"/>
      <c r="AO1" s="2157" t="s">
        <v>4164</v>
      </c>
      <c r="AP1" s="2158" t="s">
        <v>3997</v>
      </c>
      <c r="AQ1" s="2159" t="s">
        <v>3156</v>
      </c>
      <c r="AR1" s="1919" t="s">
        <v>485</v>
      </c>
    </row>
    <row r="2" spans="1:44" ht="15.2" customHeight="1" thickBot="1">
      <c r="A2" s="1445">
        <f ca="1">TODAY()</f>
        <v>43895</v>
      </c>
      <c r="B2" s="1905" t="s">
        <v>121</v>
      </c>
      <c r="C2" s="210" t="s">
        <v>2269</v>
      </c>
      <c r="D2" s="1913" t="s">
        <v>759</v>
      </c>
      <c r="E2" s="1929" t="s">
        <v>122</v>
      </c>
      <c r="F2" s="1916" t="s">
        <v>121</v>
      </c>
      <c r="G2" s="1917" t="s">
        <v>2269</v>
      </c>
      <c r="H2" s="1918" t="s">
        <v>759</v>
      </c>
      <c r="I2" s="1930" t="s">
        <v>122</v>
      </c>
      <c r="J2" s="1903" t="s">
        <v>121</v>
      </c>
      <c r="K2" s="210" t="s">
        <v>2269</v>
      </c>
      <c r="L2" s="1904" t="s">
        <v>759</v>
      </c>
      <c r="M2" s="1931" t="s">
        <v>122</v>
      </c>
      <c r="N2" s="3172" t="s">
        <v>5441</v>
      </c>
      <c r="O2" s="1932" t="s">
        <v>122</v>
      </c>
      <c r="P2" s="1923" t="s">
        <v>123</v>
      </c>
      <c r="Q2" s="1921" t="s">
        <v>2714</v>
      </c>
      <c r="R2" s="1910" t="str">
        <f ca="1">IF(S2&lt;$A$2,"VENCIDO",S2-$A$2)</f>
        <v>VENCIDO</v>
      </c>
      <c r="S2" s="1951">
        <v>42005</v>
      </c>
      <c r="T2" s="1912" t="s">
        <v>1722</v>
      </c>
      <c r="U2" s="1924" t="s">
        <v>569</v>
      </c>
      <c r="V2" s="75" t="s">
        <v>4705</v>
      </c>
      <c r="X2" s="82" t="s">
        <v>3411</v>
      </c>
      <c r="Y2" s="83"/>
      <c r="AB2" s="3793" t="s">
        <v>121</v>
      </c>
      <c r="AC2" s="3805"/>
      <c r="AD2" s="2070" t="s">
        <v>2269</v>
      </c>
      <c r="AE2" s="3793" t="s">
        <v>121</v>
      </c>
      <c r="AF2" s="3805"/>
      <c r="AG2" s="2071" t="s">
        <v>2269</v>
      </c>
      <c r="AH2" s="3793" t="s">
        <v>3132</v>
      </c>
      <c r="AI2" s="3805"/>
      <c r="AJ2" s="3794"/>
      <c r="AK2" s="2065"/>
      <c r="AL2" s="2064"/>
      <c r="AM2" s="2160" t="s">
        <v>4139</v>
      </c>
      <c r="AN2" s="2155" t="s">
        <v>1269</v>
      </c>
      <c r="AO2" s="2165" t="s">
        <v>4531</v>
      </c>
      <c r="AP2" s="2166" t="s">
        <v>4531</v>
      </c>
      <c r="AQ2" s="2167" t="s">
        <v>349</v>
      </c>
      <c r="AR2" s="2156" t="s">
        <v>1812</v>
      </c>
    </row>
    <row r="3" spans="1:44" ht="15.95" customHeight="1">
      <c r="B3" s="2046" t="s">
        <v>2172</v>
      </c>
      <c r="C3" s="3434" t="s">
        <v>2659</v>
      </c>
      <c r="D3" s="3432">
        <v>44017</v>
      </c>
      <c r="E3" s="1915">
        <f t="shared" ref="E3:E39" ca="1" si="0">IF(D3&lt;$A$2,"VENCIDO",D3-$A$2)</f>
        <v>122</v>
      </c>
      <c r="F3" s="2035" t="s">
        <v>4302</v>
      </c>
      <c r="G3" s="3430" t="s">
        <v>2659</v>
      </c>
      <c r="H3" s="3432">
        <v>44017</v>
      </c>
      <c r="I3" s="3194">
        <f t="shared" ref="I3:I10" ca="1" si="1">IF(H3&lt;$A$2,"VENCIDO",H3-$A$2)</f>
        <v>122</v>
      </c>
      <c r="J3" s="1947" t="s">
        <v>109</v>
      </c>
      <c r="K3" s="3356" t="s">
        <v>110</v>
      </c>
      <c r="L3" s="2021">
        <v>43908</v>
      </c>
      <c r="M3" s="1933">
        <f t="shared" ref="M3:M14" ca="1" si="2">IF(L3&lt;$A$2,"VENCIDO",L3-$A$2)</f>
        <v>13</v>
      </c>
      <c r="N3" s="2285">
        <v>41060</v>
      </c>
      <c r="O3" s="2286" t="str">
        <f t="shared" ref="O3:O14" ca="1" si="3">IF(N3&lt;$A$2,"VENCIDO",N3-$A$2)</f>
        <v>VENCIDO</v>
      </c>
      <c r="P3" s="2287">
        <v>2012</v>
      </c>
      <c r="Q3" s="2280" t="s">
        <v>936</v>
      </c>
      <c r="R3" s="1911" t="str">
        <f ca="1">IF(S3&lt;$A$2,"VENCIDO",S3-$A$2)</f>
        <v>VENCIDO</v>
      </c>
      <c r="S3" s="1952">
        <v>42005</v>
      </c>
      <c r="T3" s="1906" t="s">
        <v>876</v>
      </c>
      <c r="U3" s="1925" t="s">
        <v>875</v>
      </c>
      <c r="V3" s="75" t="s">
        <v>1042</v>
      </c>
      <c r="X3" s="82" t="s">
        <v>4577</v>
      </c>
      <c r="Y3" s="83"/>
      <c r="AB3" s="2083" t="s">
        <v>2172</v>
      </c>
      <c r="AC3" s="2107" t="s">
        <v>2270</v>
      </c>
      <c r="AD3" s="2078" t="s">
        <v>2659</v>
      </c>
      <c r="AE3" s="2084" t="s">
        <v>1145</v>
      </c>
      <c r="AF3" s="2107" t="s">
        <v>1116</v>
      </c>
      <c r="AG3" s="2079" t="s">
        <v>2659</v>
      </c>
      <c r="AH3" s="3806" t="s">
        <v>612</v>
      </c>
      <c r="AI3" s="3807"/>
      <c r="AJ3" s="2122" t="s">
        <v>52</v>
      </c>
      <c r="AK3" s="2065" t="s">
        <v>5018</v>
      </c>
      <c r="AL3" s="2063" t="s">
        <v>5018</v>
      </c>
      <c r="AM3" s="2161" t="s">
        <v>760</v>
      </c>
      <c r="AN3" s="790" t="s">
        <v>58</v>
      </c>
      <c r="AO3" s="2168" t="s">
        <v>4531</v>
      </c>
      <c r="AP3" s="2169" t="s">
        <v>4531</v>
      </c>
      <c r="AQ3" s="2170" t="s">
        <v>4236</v>
      </c>
      <c r="AR3" s="33" t="s">
        <v>2554</v>
      </c>
    </row>
    <row r="4" spans="1:44" ht="14.85" customHeight="1">
      <c r="B4" s="2045" t="s">
        <v>124</v>
      </c>
      <c r="C4" s="2043" t="s">
        <v>4341</v>
      </c>
      <c r="D4" s="2024"/>
      <c r="E4" s="1898" t="str">
        <f t="shared" ca="1" si="0"/>
        <v>VENCIDO</v>
      </c>
      <c r="F4" s="2032" t="s">
        <v>1189</v>
      </c>
      <c r="G4" s="3431" t="s">
        <v>2659</v>
      </c>
      <c r="H4" s="3433">
        <v>44017</v>
      </c>
      <c r="I4" s="2331">
        <f t="shared" ca="1" si="1"/>
        <v>122</v>
      </c>
      <c r="J4" s="2323" t="s">
        <v>5067</v>
      </c>
      <c r="K4" s="3458" t="s">
        <v>5461</v>
      </c>
      <c r="L4" s="3278">
        <v>43974</v>
      </c>
      <c r="M4" s="3379">
        <f t="shared" ca="1" si="2"/>
        <v>79</v>
      </c>
      <c r="N4" s="3437">
        <v>43974</v>
      </c>
      <c r="O4" s="3211">
        <f t="shared" ca="1" si="3"/>
        <v>79</v>
      </c>
      <c r="P4" s="3436">
        <v>2017</v>
      </c>
      <c r="Q4" s="2280" t="s">
        <v>3005</v>
      </c>
      <c r="R4" s="1911" t="str">
        <f ca="1">IF(S4&lt;$A$2,"VENCIDO",S4-$A$2)</f>
        <v>VENCIDO</v>
      </c>
      <c r="S4" s="1952">
        <v>41490</v>
      </c>
      <c r="T4" s="1906" t="s">
        <v>2614</v>
      </c>
      <c r="U4" s="1926" t="s">
        <v>1775</v>
      </c>
      <c r="V4" s="75"/>
      <c r="W4">
        <v>1</v>
      </c>
      <c r="X4">
        <v>31.35</v>
      </c>
      <c r="Y4">
        <v>19.5</v>
      </c>
      <c r="AB4" s="2085" t="s">
        <v>124</v>
      </c>
      <c r="AC4" s="2110"/>
      <c r="AD4" s="2104" t="s">
        <v>4341</v>
      </c>
      <c r="AE4" s="2086" t="s">
        <v>1437</v>
      </c>
      <c r="AF4" s="965" t="s">
        <v>1117</v>
      </c>
      <c r="AG4" s="2051" t="s">
        <v>2659</v>
      </c>
      <c r="AH4" s="3795" t="s">
        <v>3252</v>
      </c>
      <c r="AI4" s="3796"/>
      <c r="AJ4" s="2123" t="s">
        <v>4578</v>
      </c>
      <c r="AK4" t="s">
        <v>5018</v>
      </c>
      <c r="AL4" s="2063" t="s">
        <v>5018</v>
      </c>
      <c r="AM4" s="2161" t="s">
        <v>1190</v>
      </c>
      <c r="AN4" s="790" t="s">
        <v>861</v>
      </c>
      <c r="AO4" s="2168" t="s">
        <v>3989</v>
      </c>
      <c r="AP4" s="2169" t="s">
        <v>4531</v>
      </c>
      <c r="AQ4" s="2170" t="s">
        <v>4236</v>
      </c>
      <c r="AR4" s="33" t="s">
        <v>2554</v>
      </c>
    </row>
    <row r="5" spans="1:44" ht="14.85" customHeight="1">
      <c r="B5" s="2045" t="s">
        <v>125</v>
      </c>
      <c r="C5" s="2043" t="s">
        <v>4341</v>
      </c>
      <c r="D5" s="2024"/>
      <c r="E5" s="1898" t="str">
        <f t="shared" ca="1" si="0"/>
        <v>VENCIDO</v>
      </c>
      <c r="F5" s="2032" t="s">
        <v>4303</v>
      </c>
      <c r="G5" s="3431" t="s">
        <v>2659</v>
      </c>
      <c r="H5" s="3433">
        <v>44017</v>
      </c>
      <c r="I5" s="2331">
        <f t="shared" ca="1" si="1"/>
        <v>122</v>
      </c>
      <c r="J5" s="3427" t="s">
        <v>5460</v>
      </c>
      <c r="K5" s="3458" t="s">
        <v>4081</v>
      </c>
      <c r="L5" s="3278">
        <v>44102</v>
      </c>
      <c r="M5" s="3379">
        <f t="shared" ca="1" si="2"/>
        <v>207</v>
      </c>
      <c r="N5" s="3437">
        <v>43901</v>
      </c>
      <c r="O5" s="3211">
        <f t="shared" ca="1" si="3"/>
        <v>6</v>
      </c>
      <c r="P5" s="3436">
        <v>2000</v>
      </c>
      <c r="Q5" s="2279" t="s">
        <v>3708</v>
      </c>
      <c r="R5" s="2289" t="s">
        <v>3709</v>
      </c>
      <c r="S5" s="2290" t="s">
        <v>1029</v>
      </c>
      <c r="T5" s="2291" t="s">
        <v>1604</v>
      </c>
      <c r="U5" s="1926" t="s">
        <v>1775</v>
      </c>
      <c r="V5" s="75"/>
      <c r="W5">
        <v>2</v>
      </c>
      <c r="X5">
        <v>26.55</v>
      </c>
      <c r="Y5">
        <v>19.350000000000001</v>
      </c>
      <c r="AB5" s="2085" t="s">
        <v>125</v>
      </c>
      <c r="AC5" s="2110"/>
      <c r="AD5" s="2104" t="s">
        <v>4341</v>
      </c>
      <c r="AE5" s="2086" t="s">
        <v>1907</v>
      </c>
      <c r="AF5" s="965" t="s">
        <v>4654</v>
      </c>
      <c r="AG5" s="2051" t="s">
        <v>2659</v>
      </c>
      <c r="AH5" s="3795" t="s">
        <v>2313</v>
      </c>
      <c r="AI5" s="3796"/>
      <c r="AJ5" s="2123" t="s">
        <v>4081</v>
      </c>
      <c r="AK5" s="2065" t="s">
        <v>5018</v>
      </c>
      <c r="AL5" s="2063" t="s">
        <v>5018</v>
      </c>
      <c r="AM5" s="2161" t="s">
        <v>2560</v>
      </c>
      <c r="AN5" s="790" t="s">
        <v>2666</v>
      </c>
      <c r="AO5" s="2168" t="s">
        <v>3989</v>
      </c>
      <c r="AP5" s="2169" t="s">
        <v>4531</v>
      </c>
      <c r="AQ5" s="2170" t="s">
        <v>4236</v>
      </c>
      <c r="AR5" s="33" t="s">
        <v>4124</v>
      </c>
    </row>
    <row r="6" spans="1:44" ht="14.85" customHeight="1">
      <c r="B6" s="2045" t="s">
        <v>126</v>
      </c>
      <c r="C6" s="2043" t="s">
        <v>4341</v>
      </c>
      <c r="D6" s="2024"/>
      <c r="E6" s="1898" t="str">
        <f t="shared" ca="1" si="0"/>
        <v>VENCIDO</v>
      </c>
      <c r="F6" s="2032" t="s">
        <v>2559</v>
      </c>
      <c r="G6" s="3431" t="s">
        <v>2659</v>
      </c>
      <c r="H6" s="3433">
        <v>44017</v>
      </c>
      <c r="I6" s="2331">
        <f t="shared" ca="1" si="1"/>
        <v>122</v>
      </c>
      <c r="J6" s="2323" t="s">
        <v>1368</v>
      </c>
      <c r="K6" s="3458" t="s">
        <v>5462</v>
      </c>
      <c r="L6" s="2022">
        <v>44219</v>
      </c>
      <c r="M6" s="3379">
        <f t="shared" ca="1" si="2"/>
        <v>324</v>
      </c>
      <c r="N6" s="3437">
        <v>43718</v>
      </c>
      <c r="O6" s="3211" t="str">
        <f t="shared" ca="1" si="3"/>
        <v>VENCIDO</v>
      </c>
      <c r="P6" s="3436">
        <v>2012</v>
      </c>
      <c r="Q6" s="2280" t="s">
        <v>2344</v>
      </c>
      <c r="R6" s="1909" t="str">
        <f ca="1">IF(S6&lt;$A$2,"VENCIDO",S6-$A$2)</f>
        <v>VENCIDO</v>
      </c>
      <c r="S6" s="1952">
        <v>40826</v>
      </c>
      <c r="T6" s="1907" t="s">
        <v>4006</v>
      </c>
      <c r="U6" s="1927" t="s">
        <v>1775</v>
      </c>
      <c r="V6" s="75"/>
      <c r="W6">
        <v>3</v>
      </c>
      <c r="X6">
        <v>26.55</v>
      </c>
      <c r="Y6">
        <v>19.350000000000001</v>
      </c>
      <c r="AB6" s="2085" t="s">
        <v>126</v>
      </c>
      <c r="AC6" s="2110"/>
      <c r="AD6" s="2104" t="s">
        <v>4341</v>
      </c>
      <c r="AE6" s="2086" t="s">
        <v>4905</v>
      </c>
      <c r="AF6" s="965" t="s">
        <v>4655</v>
      </c>
      <c r="AG6" s="2051" t="s">
        <v>2659</v>
      </c>
      <c r="AH6" s="3795" t="s">
        <v>858</v>
      </c>
      <c r="AI6" s="3796"/>
      <c r="AJ6" s="2123" t="s">
        <v>1370</v>
      </c>
      <c r="AK6" s="2065" t="s">
        <v>5018</v>
      </c>
      <c r="AL6" s="2063" t="s">
        <v>5018</v>
      </c>
      <c r="AM6" s="2162" t="s">
        <v>3133</v>
      </c>
      <c r="AN6" s="2154"/>
      <c r="AO6" s="2171"/>
      <c r="AP6" s="2169"/>
      <c r="AQ6" s="2170"/>
      <c r="AR6" s="33"/>
    </row>
    <row r="7" spans="1:44" ht="14.85" customHeight="1">
      <c r="B7" s="2031" t="s">
        <v>1445</v>
      </c>
      <c r="C7" s="3435" t="s">
        <v>2659</v>
      </c>
      <c r="D7" s="3433">
        <v>44017</v>
      </c>
      <c r="E7" s="1898">
        <f t="shared" ca="1" si="0"/>
        <v>122</v>
      </c>
      <c r="F7" s="2044" t="s">
        <v>3625</v>
      </c>
      <c r="G7" s="2043" t="s">
        <v>4341</v>
      </c>
      <c r="H7" s="2024"/>
      <c r="I7" s="1898" t="str">
        <f t="shared" ca="1" si="1"/>
        <v>VENCIDO</v>
      </c>
      <c r="J7" s="1948" t="s">
        <v>4908</v>
      </c>
      <c r="K7" s="3356" t="s">
        <v>5440</v>
      </c>
      <c r="L7" s="2022">
        <v>43964</v>
      </c>
      <c r="M7" s="1934">
        <f t="shared" ca="1" si="2"/>
        <v>69</v>
      </c>
      <c r="N7" s="2020">
        <v>43724</v>
      </c>
      <c r="O7" s="1914" t="str">
        <f t="shared" ca="1" si="3"/>
        <v>VENCIDO</v>
      </c>
      <c r="P7" s="2288">
        <v>2014</v>
      </c>
      <c r="Q7" s="2281" t="s">
        <v>598</v>
      </c>
      <c r="R7" s="1909" t="str">
        <f ca="1">IF(S7&lt;$A$2,"VENCIDO",S7-$A$2)</f>
        <v>VENCIDO</v>
      </c>
      <c r="S7" s="1952">
        <v>42004</v>
      </c>
      <c r="T7" s="1907" t="s">
        <v>4006</v>
      </c>
      <c r="U7" s="1928" t="s">
        <v>1775</v>
      </c>
      <c r="V7" s="75"/>
      <c r="W7">
        <v>4</v>
      </c>
      <c r="X7">
        <v>26.55</v>
      </c>
      <c r="Y7">
        <v>19.350000000000001</v>
      </c>
      <c r="AB7" s="2073" t="s">
        <v>1445</v>
      </c>
      <c r="AC7" s="965" t="s">
        <v>672</v>
      </c>
      <c r="AD7" s="2052" t="s">
        <v>2659</v>
      </c>
      <c r="AE7" s="2086" t="s">
        <v>4302</v>
      </c>
      <c r="AF7" s="965" t="s">
        <v>4656</v>
      </c>
      <c r="AG7" s="2051" t="s">
        <v>2659</v>
      </c>
      <c r="AH7" s="3808" t="s">
        <v>1368</v>
      </c>
      <c r="AI7" s="3809"/>
      <c r="AJ7" s="2123" t="s">
        <v>1369</v>
      </c>
      <c r="AK7" s="2065" t="s">
        <v>5018</v>
      </c>
      <c r="AL7" s="2063" t="s">
        <v>5018</v>
      </c>
      <c r="AM7" s="2161" t="s">
        <v>1135</v>
      </c>
      <c r="AN7" s="790" t="s">
        <v>1270</v>
      </c>
      <c r="AO7" s="2168" t="s">
        <v>4531</v>
      </c>
      <c r="AP7" s="2169" t="s">
        <v>4531</v>
      </c>
      <c r="AQ7" s="2170" t="s">
        <v>4236</v>
      </c>
      <c r="AR7" s="33" t="s">
        <v>1812</v>
      </c>
    </row>
    <row r="8" spans="1:44" ht="14.85" customHeight="1">
      <c r="B8" s="3053" t="s">
        <v>4801</v>
      </c>
      <c r="C8" s="3353" t="s">
        <v>2659</v>
      </c>
      <c r="D8" s="2330"/>
      <c r="E8" s="1898" t="str">
        <f t="shared" ca="1" si="0"/>
        <v>VENCIDO</v>
      </c>
      <c r="F8" s="2032" t="s">
        <v>1134</v>
      </c>
      <c r="G8" s="3431" t="s">
        <v>2659</v>
      </c>
      <c r="H8" s="3433">
        <v>44017</v>
      </c>
      <c r="I8" s="2331">
        <f t="shared" ca="1" si="1"/>
        <v>122</v>
      </c>
      <c r="J8" s="2276" t="s">
        <v>4559</v>
      </c>
      <c r="K8" s="3246" t="s">
        <v>4560</v>
      </c>
      <c r="L8" s="2023">
        <v>44140</v>
      </c>
      <c r="M8" s="1935">
        <f t="shared" ca="1" si="2"/>
        <v>245</v>
      </c>
      <c r="N8" s="3423">
        <v>43751</v>
      </c>
      <c r="O8" s="1936" t="str">
        <f t="shared" ca="1" si="3"/>
        <v>VENCIDO</v>
      </c>
      <c r="P8" s="1949">
        <v>2014</v>
      </c>
      <c r="Q8" s="2338" t="s">
        <v>4235</v>
      </c>
      <c r="R8" s="1911" t="s">
        <v>1125</v>
      </c>
      <c r="S8" s="2337" t="s">
        <v>1126</v>
      </c>
      <c r="T8" s="2337" t="s">
        <v>1127</v>
      </c>
      <c r="U8" s="1928" t="s">
        <v>1775</v>
      </c>
      <c r="V8" s="75"/>
      <c r="W8" t="s">
        <v>5018</v>
      </c>
      <c r="Y8">
        <v>19.350000000000001</v>
      </c>
      <c r="AB8" s="2073" t="s">
        <v>4801</v>
      </c>
      <c r="AC8" s="965" t="s">
        <v>3798</v>
      </c>
      <c r="AD8" s="2052" t="s">
        <v>2659</v>
      </c>
      <c r="AE8" s="2086" t="s">
        <v>1189</v>
      </c>
      <c r="AF8" s="965" t="s">
        <v>4657</v>
      </c>
      <c r="AG8" s="2051" t="s">
        <v>2659</v>
      </c>
      <c r="AH8" s="3795" t="s">
        <v>3059</v>
      </c>
      <c r="AI8" s="3796"/>
      <c r="AJ8" s="2123" t="s">
        <v>4579</v>
      </c>
      <c r="AK8" s="2065" t="s">
        <v>5018</v>
      </c>
      <c r="AL8" s="2063" t="s">
        <v>5018</v>
      </c>
      <c r="AM8" s="2161" t="s">
        <v>1438</v>
      </c>
      <c r="AN8" s="790" t="s">
        <v>4323</v>
      </c>
      <c r="AO8" s="2168" t="s">
        <v>3989</v>
      </c>
      <c r="AP8" s="2169" t="s">
        <v>4531</v>
      </c>
      <c r="AQ8" s="2170" t="s">
        <v>4236</v>
      </c>
      <c r="AR8" s="33" t="s">
        <v>1812</v>
      </c>
    </row>
    <row r="9" spans="1:44" ht="14.85" customHeight="1">
      <c r="B9" s="2045" t="s">
        <v>127</v>
      </c>
      <c r="C9" s="2043" t="s">
        <v>4341</v>
      </c>
      <c r="D9" s="2024"/>
      <c r="E9" s="1898" t="str">
        <f t="shared" ca="1" si="0"/>
        <v>VENCIDO</v>
      </c>
      <c r="F9" s="2032" t="s">
        <v>1144</v>
      </c>
      <c r="G9" s="3431" t="s">
        <v>2659</v>
      </c>
      <c r="H9" s="3433">
        <v>44017</v>
      </c>
      <c r="I9" s="2331">
        <f t="shared" ca="1" si="1"/>
        <v>122</v>
      </c>
      <c r="J9" s="2487" t="s">
        <v>246</v>
      </c>
      <c r="K9" s="3356" t="s">
        <v>245</v>
      </c>
      <c r="L9" s="2488">
        <v>43940</v>
      </c>
      <c r="M9" s="2489">
        <f t="shared" ca="1" si="2"/>
        <v>45</v>
      </c>
      <c r="N9" s="2020">
        <v>43888</v>
      </c>
      <c r="O9" s="1914" t="str">
        <f t="shared" ca="1" si="3"/>
        <v>VENCIDO</v>
      </c>
      <c r="P9" s="2288">
        <v>2013</v>
      </c>
      <c r="Q9" s="2282" t="s">
        <v>4337</v>
      </c>
      <c r="R9" s="2231" t="s">
        <v>4338</v>
      </c>
      <c r="S9" s="2233" t="s">
        <v>4339</v>
      </c>
      <c r="T9" s="2232" t="s">
        <v>4340</v>
      </c>
      <c r="U9" s="1928"/>
      <c r="V9" s="75"/>
      <c r="W9">
        <v>6</v>
      </c>
      <c r="Y9">
        <v>19.350000000000001</v>
      </c>
      <c r="AB9" s="2085" t="s">
        <v>127</v>
      </c>
      <c r="AC9" s="2110"/>
      <c r="AD9" s="2104" t="s">
        <v>4341</v>
      </c>
      <c r="AE9" s="2086" t="s">
        <v>4303</v>
      </c>
      <c r="AF9" s="965" t="s">
        <v>900</v>
      </c>
      <c r="AG9" s="2051" t="s">
        <v>2659</v>
      </c>
      <c r="AH9" s="3795" t="s">
        <v>2255</v>
      </c>
      <c r="AI9" s="3796"/>
      <c r="AJ9" s="2123" t="s">
        <v>4580</v>
      </c>
      <c r="AK9" s="2065" t="s">
        <v>5018</v>
      </c>
      <c r="AL9" s="2063" t="s">
        <v>5018</v>
      </c>
      <c r="AM9" s="2161" t="s">
        <v>1908</v>
      </c>
      <c r="AN9" s="790" t="s">
        <v>3007</v>
      </c>
      <c r="AO9" s="2168" t="s">
        <v>4531</v>
      </c>
      <c r="AP9" s="2169" t="s">
        <v>4531</v>
      </c>
      <c r="AQ9" s="2170" t="s">
        <v>4236</v>
      </c>
      <c r="AR9" s="33" t="s">
        <v>1812</v>
      </c>
    </row>
    <row r="10" spans="1:44" ht="14.85" customHeight="1">
      <c r="B10" s="3053" t="s">
        <v>1742</v>
      </c>
      <c r="C10" s="3353" t="s">
        <v>2659</v>
      </c>
      <c r="D10" s="2024"/>
      <c r="E10" s="1898" t="str">
        <f t="shared" ca="1" si="0"/>
        <v>VENCIDO</v>
      </c>
      <c r="F10" s="2523" t="s">
        <v>3660</v>
      </c>
      <c r="G10" s="3355" t="s">
        <v>3661</v>
      </c>
      <c r="H10" s="2024">
        <v>44047</v>
      </c>
      <c r="I10" s="2331">
        <f t="shared" ca="1" si="1"/>
        <v>152</v>
      </c>
      <c r="J10" s="3428" t="s">
        <v>3988</v>
      </c>
      <c r="K10" s="3458" t="s">
        <v>5115</v>
      </c>
      <c r="L10" s="3268">
        <v>44168</v>
      </c>
      <c r="M10" s="3211">
        <f t="shared" ca="1" si="2"/>
        <v>273</v>
      </c>
      <c r="N10" s="3437">
        <v>43799</v>
      </c>
      <c r="O10" s="3211" t="str">
        <f t="shared" ca="1" si="3"/>
        <v>VENCIDO</v>
      </c>
      <c r="P10" s="3436">
        <v>2004</v>
      </c>
      <c r="Q10" s="2282" t="s">
        <v>2470</v>
      </c>
      <c r="R10" s="1911" t="str">
        <f t="shared" ref="R10:R17" ca="1" si="4">IF(S10&lt;$A$2,"VENCIDO",S10-$A$2)</f>
        <v>VENCIDO</v>
      </c>
      <c r="S10" s="1952">
        <v>42000</v>
      </c>
      <c r="T10" s="1906" t="s">
        <v>4006</v>
      </c>
      <c r="U10" s="1928" t="s">
        <v>1775</v>
      </c>
      <c r="V10" s="75"/>
      <c r="X10">
        <f>SUM(X4:X9)</f>
        <v>111</v>
      </c>
      <c r="Y10">
        <f>SUM(Y4:Y9)</f>
        <v>116.25</v>
      </c>
      <c r="AB10" s="2073" t="s">
        <v>1742</v>
      </c>
      <c r="AC10" s="965" t="s">
        <v>3800</v>
      </c>
      <c r="AD10" s="2052" t="s">
        <v>2659</v>
      </c>
      <c r="AE10" s="2086" t="s">
        <v>2559</v>
      </c>
      <c r="AF10" s="965" t="s">
        <v>901</v>
      </c>
      <c r="AG10" s="2051" t="s">
        <v>2659</v>
      </c>
      <c r="AH10" s="3795" t="s">
        <v>1576</v>
      </c>
      <c r="AI10" s="3796"/>
      <c r="AJ10" s="2123" t="s">
        <v>4581</v>
      </c>
      <c r="AK10" s="2065" t="s">
        <v>5018</v>
      </c>
      <c r="AL10" s="2063" t="s">
        <v>5018</v>
      </c>
      <c r="AM10" s="2161" t="s">
        <v>4304</v>
      </c>
      <c r="AN10" s="790" t="s">
        <v>4361</v>
      </c>
      <c r="AO10" s="2168" t="s">
        <v>3989</v>
      </c>
      <c r="AP10" s="2169" t="s">
        <v>4531</v>
      </c>
      <c r="AQ10" s="2170" t="s">
        <v>4236</v>
      </c>
      <c r="AR10" s="33" t="s">
        <v>4124</v>
      </c>
    </row>
    <row r="11" spans="1:44" ht="14.85" customHeight="1">
      <c r="B11" s="3053" t="s">
        <v>4486</v>
      </c>
      <c r="C11" s="3353" t="s">
        <v>2659</v>
      </c>
      <c r="D11" s="2024"/>
      <c r="E11" s="1898" t="str">
        <f t="shared" ca="1" si="0"/>
        <v>VENCIDO</v>
      </c>
      <c r="F11" s="2523" t="s">
        <v>5058</v>
      </c>
      <c r="G11" s="3355" t="s">
        <v>3661</v>
      </c>
      <c r="H11" s="2024">
        <v>44232</v>
      </c>
      <c r="I11" s="1898">
        <f ca="1">IF(H11&lt;$A$2,"VENCIDO",H11-$A$2)</f>
        <v>337</v>
      </c>
      <c r="J11" s="3359" t="s">
        <v>5799</v>
      </c>
      <c r="K11" s="3429" t="s">
        <v>5800</v>
      </c>
      <c r="L11" s="2023">
        <v>44087</v>
      </c>
      <c r="M11" s="1935">
        <f t="shared" ca="1" si="2"/>
        <v>192</v>
      </c>
      <c r="N11" s="3423">
        <v>43676</v>
      </c>
      <c r="O11" s="1936" t="str">
        <f t="shared" ca="1" si="3"/>
        <v>VENCIDO</v>
      </c>
      <c r="P11" s="1949">
        <v>2014</v>
      </c>
      <c r="Q11" s="2283" t="s">
        <v>2073</v>
      </c>
      <c r="R11" s="1911" t="str">
        <f t="shared" ca="1" si="4"/>
        <v>VENCIDO</v>
      </c>
      <c r="S11" s="1952">
        <v>41717</v>
      </c>
      <c r="T11" s="1906" t="s">
        <v>1427</v>
      </c>
      <c r="U11" s="1928" t="s">
        <v>1775</v>
      </c>
      <c r="V11" s="75"/>
      <c r="W11" s="85">
        <v>2013</v>
      </c>
      <c r="X11" s="3800">
        <f>+X10+Y10</f>
        <v>227.25</v>
      </c>
      <c r="Y11" s="3800"/>
      <c r="AB11" s="2073" t="s">
        <v>4486</v>
      </c>
      <c r="AC11" s="965" t="s">
        <v>4372</v>
      </c>
      <c r="AD11" s="2052" t="s">
        <v>2659</v>
      </c>
      <c r="AE11" s="2090" t="s">
        <v>3625</v>
      </c>
      <c r="AF11" s="2108"/>
      <c r="AG11" s="2105" t="s">
        <v>4341</v>
      </c>
      <c r="AH11" s="3795" t="s">
        <v>1328</v>
      </c>
      <c r="AI11" s="3796"/>
      <c r="AJ11" s="2123" t="s">
        <v>1367</v>
      </c>
      <c r="AK11" s="2065" t="s">
        <v>5018</v>
      </c>
      <c r="AL11" s="2063" t="s">
        <v>5018</v>
      </c>
      <c r="AM11" s="2161" t="s">
        <v>1191</v>
      </c>
      <c r="AN11" s="790" t="s">
        <v>4364</v>
      </c>
      <c r="AO11" s="2168" t="s">
        <v>3989</v>
      </c>
      <c r="AP11" s="2169" t="s">
        <v>4531</v>
      </c>
      <c r="AQ11" s="2170" t="s">
        <v>349</v>
      </c>
      <c r="AR11" s="33" t="s">
        <v>4124</v>
      </c>
    </row>
    <row r="12" spans="1:44" ht="14.85" customHeight="1">
      <c r="B12" s="2045" t="s">
        <v>128</v>
      </c>
      <c r="C12" s="2043" t="s">
        <v>4341</v>
      </c>
      <c r="D12" s="2024"/>
      <c r="E12" s="1898" t="str">
        <f t="shared" ca="1" si="0"/>
        <v>VENCIDO</v>
      </c>
      <c r="F12" s="2523" t="s">
        <v>5060</v>
      </c>
      <c r="G12" s="3355" t="s">
        <v>5062</v>
      </c>
      <c r="H12" s="2024">
        <v>43941</v>
      </c>
      <c r="I12" s="1898">
        <f ca="1">IF(H12&lt;$A$2,"VENCIDO",H12-$A$2)</f>
        <v>46</v>
      </c>
      <c r="J12" s="2515" t="s">
        <v>1576</v>
      </c>
      <c r="K12" s="2516" t="s">
        <v>4581</v>
      </c>
      <c r="L12" s="2517" t="s">
        <v>5052</v>
      </c>
      <c r="M12" s="2519" t="e">
        <f t="shared" ca="1" si="2"/>
        <v>#VALUE!</v>
      </c>
      <c r="N12" s="2517" t="s">
        <v>5053</v>
      </c>
      <c r="O12" s="2520" t="e">
        <f t="shared" ca="1" si="3"/>
        <v>#VALUE!</v>
      </c>
      <c r="P12" s="2518">
        <v>1980</v>
      </c>
      <c r="Q12" s="2280" t="s">
        <v>1375</v>
      </c>
      <c r="R12" s="1911" t="str">
        <f t="shared" ca="1" si="4"/>
        <v>VENCIDO</v>
      </c>
      <c r="S12" s="1952">
        <v>42772</v>
      </c>
      <c r="T12" s="1906" t="s">
        <v>1428</v>
      </c>
      <c r="U12" s="1928" t="s">
        <v>569</v>
      </c>
      <c r="V12" s="75"/>
      <c r="AB12" s="2085" t="s">
        <v>128</v>
      </c>
      <c r="AC12" s="2110"/>
      <c r="AD12" s="2104" t="s">
        <v>4341</v>
      </c>
      <c r="AE12" s="2086" t="s">
        <v>1134</v>
      </c>
      <c r="AF12" s="965" t="s">
        <v>903</v>
      </c>
      <c r="AG12" s="2051" t="s">
        <v>2659</v>
      </c>
      <c r="AH12" s="3795" t="s">
        <v>2720</v>
      </c>
      <c r="AI12" s="3796"/>
      <c r="AJ12" s="2123" t="s">
        <v>1816</v>
      </c>
      <c r="AK12" s="2065" t="s">
        <v>5018</v>
      </c>
      <c r="AL12" s="2063" t="s">
        <v>5018</v>
      </c>
      <c r="AM12" s="2162"/>
      <c r="AN12" s="2154"/>
      <c r="AO12" s="2171"/>
      <c r="AP12" s="2169" t="s">
        <v>4531</v>
      </c>
      <c r="AQ12" s="2170"/>
      <c r="AR12" s="33"/>
    </row>
    <row r="13" spans="1:44" ht="14.85" customHeight="1" thickBot="1">
      <c r="B13" s="2031" t="s">
        <v>4034</v>
      </c>
      <c r="C13" s="3354" t="s">
        <v>2659</v>
      </c>
      <c r="D13" s="2024">
        <v>44162</v>
      </c>
      <c r="E13" s="1898">
        <f t="shared" ca="1" si="0"/>
        <v>267</v>
      </c>
      <c r="F13" s="2523" t="s">
        <v>5061</v>
      </c>
      <c r="G13" s="3355" t="s">
        <v>5062</v>
      </c>
      <c r="H13" s="2024">
        <v>43941</v>
      </c>
      <c r="I13" s="1898">
        <f ca="1">IF(H13&lt;$A$2,"VENCIDO",H13-$A$2)</f>
        <v>46</v>
      </c>
      <c r="J13" s="3713" t="s">
        <v>4710</v>
      </c>
      <c r="K13" s="3356" t="s">
        <v>1367</v>
      </c>
      <c r="L13" s="2022">
        <v>44210</v>
      </c>
      <c r="M13" s="1934">
        <f t="shared" ca="1" si="2"/>
        <v>315</v>
      </c>
      <c r="N13" s="2020">
        <v>43855</v>
      </c>
      <c r="O13" s="1914" t="str">
        <f t="shared" ca="1" si="3"/>
        <v>VENCIDO</v>
      </c>
      <c r="P13" s="2288">
        <v>1967</v>
      </c>
      <c r="Q13" s="2280" t="s">
        <v>1374</v>
      </c>
      <c r="R13" s="1911" t="str">
        <f t="shared" ca="1" si="4"/>
        <v>VENCIDO</v>
      </c>
      <c r="S13" s="1952">
        <v>42846</v>
      </c>
      <c r="T13" s="1906" t="s">
        <v>1428</v>
      </c>
      <c r="U13" s="1926" t="s">
        <v>569</v>
      </c>
      <c r="V13" s="75"/>
      <c r="AB13" s="2073" t="s">
        <v>4034</v>
      </c>
      <c r="AC13" s="965" t="s">
        <v>4926</v>
      </c>
      <c r="AD13" s="2052" t="s">
        <v>2659</v>
      </c>
      <c r="AE13" s="2089" t="s">
        <v>1144</v>
      </c>
      <c r="AF13" s="2109" t="s">
        <v>904</v>
      </c>
      <c r="AG13" s="2056" t="s">
        <v>2659</v>
      </c>
      <c r="AH13" s="3787" t="s">
        <v>1650</v>
      </c>
      <c r="AI13" s="3788"/>
      <c r="AJ13" s="2124" t="s">
        <v>574</v>
      </c>
      <c r="AK13" s="2066" t="s">
        <v>5018</v>
      </c>
      <c r="AL13" s="2063" t="s">
        <v>5018</v>
      </c>
      <c r="AM13" s="2161" t="s">
        <v>1937</v>
      </c>
      <c r="AN13" s="790" t="s">
        <v>4204</v>
      </c>
      <c r="AO13" s="2168" t="s">
        <v>4531</v>
      </c>
      <c r="AP13" s="2169" t="s">
        <v>4531</v>
      </c>
      <c r="AQ13" s="2170" t="s">
        <v>349</v>
      </c>
      <c r="AR13" s="33" t="s">
        <v>4124</v>
      </c>
    </row>
    <row r="14" spans="1:44" ht="14.85" customHeight="1">
      <c r="B14" s="2045" t="s">
        <v>3866</v>
      </c>
      <c r="C14" s="2043" t="s">
        <v>4341</v>
      </c>
      <c r="D14" s="2024"/>
      <c r="E14" s="1898" t="str">
        <f t="shared" ca="1" si="0"/>
        <v>VENCIDO</v>
      </c>
      <c r="F14" s="2523" t="s">
        <v>5860</v>
      </c>
      <c r="G14" s="3355" t="s">
        <v>3181</v>
      </c>
      <c r="H14" s="2024">
        <v>43929</v>
      </c>
      <c r="I14" s="1898">
        <f ca="1">IF(H14&lt;$A$2,"VENCIDO",H14-$A$2)</f>
        <v>34</v>
      </c>
      <c r="J14" s="3714" t="s">
        <v>3396</v>
      </c>
      <c r="K14" s="3356" t="s">
        <v>1816</v>
      </c>
      <c r="L14" s="2022">
        <v>44027</v>
      </c>
      <c r="M14" s="1934">
        <f t="shared" ca="1" si="2"/>
        <v>132</v>
      </c>
      <c r="N14" s="2020">
        <v>44238</v>
      </c>
      <c r="O14" s="1914">
        <f t="shared" ca="1" si="3"/>
        <v>343</v>
      </c>
      <c r="P14" s="2288">
        <v>1993</v>
      </c>
      <c r="Q14" s="2280" t="s">
        <v>4682</v>
      </c>
      <c r="R14" s="1911" t="str">
        <f t="shared" ca="1" si="4"/>
        <v>VENCIDO</v>
      </c>
      <c r="S14" s="1952">
        <v>41157</v>
      </c>
      <c r="T14" s="1906" t="s">
        <v>4681</v>
      </c>
      <c r="U14" s="1926" t="s">
        <v>1775</v>
      </c>
      <c r="V14" s="75"/>
      <c r="X14" t="s">
        <v>1009</v>
      </c>
      <c r="Y14">
        <v>21.59</v>
      </c>
      <c r="Z14">
        <f>+Y14</f>
        <v>21.59</v>
      </c>
      <c r="AB14" s="2085" t="s">
        <v>3866</v>
      </c>
      <c r="AC14" s="2111"/>
      <c r="AD14" s="2104" t="s">
        <v>4341</v>
      </c>
      <c r="AE14" s="2054" t="s">
        <v>5018</v>
      </c>
      <c r="AF14" s="2054"/>
      <c r="AG14" s="2054"/>
      <c r="AH14" s="3798" t="s">
        <v>3304</v>
      </c>
      <c r="AI14" s="3799"/>
      <c r="AJ14" s="2057" t="s">
        <v>1817</v>
      </c>
      <c r="AK14" s="2067" t="s">
        <v>5018</v>
      </c>
      <c r="AL14" s="2063" t="s">
        <v>5018</v>
      </c>
      <c r="AM14" s="2161" t="s">
        <v>1148</v>
      </c>
      <c r="AN14" s="790" t="s">
        <v>1097</v>
      </c>
      <c r="AO14" s="2168" t="s">
        <v>3989</v>
      </c>
      <c r="AP14" s="2169" t="s">
        <v>3989</v>
      </c>
      <c r="AQ14" s="2170" t="s">
        <v>349</v>
      </c>
      <c r="AR14" s="33" t="s">
        <v>4125</v>
      </c>
    </row>
    <row r="15" spans="1:44" ht="14.85" customHeight="1">
      <c r="B15" s="2045" t="s">
        <v>3867</v>
      </c>
      <c r="C15" s="2043" t="s">
        <v>4341</v>
      </c>
      <c r="D15" s="2024"/>
      <c r="E15" s="1898" t="str">
        <f t="shared" ca="1" si="0"/>
        <v>VENCIDO</v>
      </c>
      <c r="J15" s="2509" t="s">
        <v>4561</v>
      </c>
      <c r="K15" s="2510" t="s">
        <v>574</v>
      </c>
      <c r="L15" s="2511" t="s">
        <v>5018</v>
      </c>
      <c r="M15" s="2512"/>
      <c r="N15" s="2511"/>
      <c r="O15" s="2513"/>
      <c r="P15" s="2514">
        <v>1983</v>
      </c>
      <c r="Q15" s="2283" t="s">
        <v>2647</v>
      </c>
      <c r="R15" s="1911" t="str">
        <f t="shared" ca="1" si="4"/>
        <v>VENCIDO</v>
      </c>
      <c r="S15" s="1952">
        <v>41961</v>
      </c>
      <c r="T15" s="1906" t="s">
        <v>2648</v>
      </c>
      <c r="U15" s="1926" t="s">
        <v>1775</v>
      </c>
      <c r="V15" s="75"/>
      <c r="X15" t="s">
        <v>1521</v>
      </c>
      <c r="Y15">
        <v>27.94</v>
      </c>
      <c r="Z15">
        <f>+Y15/2</f>
        <v>13.97</v>
      </c>
      <c r="AB15" s="2085" t="s">
        <v>3867</v>
      </c>
      <c r="AC15" s="2111"/>
      <c r="AD15" s="2104" t="s">
        <v>4341</v>
      </c>
      <c r="AE15" s="2054" t="s">
        <v>5018</v>
      </c>
      <c r="AF15" s="2054"/>
      <c r="AG15" s="2054"/>
      <c r="AH15" s="3791"/>
      <c r="AI15" s="3792"/>
      <c r="AJ15" s="2080"/>
      <c r="AK15" s="2055" t="s">
        <v>5018</v>
      </c>
      <c r="AL15" s="2055"/>
      <c r="AM15" s="2161" t="s">
        <v>1136</v>
      </c>
      <c r="AN15" s="790" t="s">
        <v>3753</v>
      </c>
      <c r="AO15" s="2168" t="s">
        <v>4531</v>
      </c>
      <c r="AP15" s="2169" t="s">
        <v>4531</v>
      </c>
      <c r="AQ15" s="2170" t="s">
        <v>4236</v>
      </c>
      <c r="AR15" s="33" t="s">
        <v>1812</v>
      </c>
    </row>
    <row r="16" spans="1:44" ht="14.85" customHeight="1" thickBot="1">
      <c r="B16" s="2031" t="s">
        <v>4924</v>
      </c>
      <c r="C16" s="3435" t="s">
        <v>2659</v>
      </c>
      <c r="D16" s="3433">
        <v>44017</v>
      </c>
      <c r="E16" s="1898">
        <f t="shared" ca="1" si="0"/>
        <v>122</v>
      </c>
      <c r="I16" s="1902"/>
      <c r="J16" s="2649" t="s">
        <v>5065</v>
      </c>
      <c r="K16" s="3459" t="s">
        <v>5066</v>
      </c>
      <c r="L16" s="2645">
        <v>44014</v>
      </c>
      <c r="M16" s="2336">
        <f ca="1">IF(L16&lt;$A$2,"VENCIDO",L16-$A$2)</f>
        <v>119</v>
      </c>
      <c r="N16" s="2646">
        <v>43955</v>
      </c>
      <c r="O16" s="2647">
        <f ca="1">IF(N16&lt;$A$2,"VENCIDO",N16-$A$2)</f>
        <v>60</v>
      </c>
      <c r="P16" s="2648">
        <v>2010</v>
      </c>
      <c r="Q16" s="1395" t="s">
        <v>5851</v>
      </c>
      <c r="R16" s="1911">
        <v>999727143</v>
      </c>
      <c r="S16" s="1953">
        <v>43651</v>
      </c>
      <c r="T16" s="1908" t="s">
        <v>5852</v>
      </c>
      <c r="U16" s="1928" t="s">
        <v>1775</v>
      </c>
      <c r="V16" s="75"/>
      <c r="W16" s="134" t="s">
        <v>5308</v>
      </c>
      <c r="AB16" s="2073" t="s">
        <v>4924</v>
      </c>
      <c r="AC16" s="2112" t="s">
        <v>1257</v>
      </c>
      <c r="AD16" s="2052" t="s">
        <v>2659</v>
      </c>
      <c r="AE16" s="2054" t="s">
        <v>5018</v>
      </c>
      <c r="AF16" s="2054"/>
      <c r="AG16" s="2054"/>
      <c r="AH16" s="3791"/>
      <c r="AI16" s="3792"/>
      <c r="AJ16" s="2080"/>
      <c r="AK16" s="2055"/>
      <c r="AL16" s="2055"/>
      <c r="AM16" s="2162"/>
      <c r="AN16" s="2154"/>
      <c r="AO16" s="2171"/>
      <c r="AP16" s="2169"/>
      <c r="AQ16" s="2170"/>
      <c r="AR16" s="33"/>
    </row>
    <row r="17" spans="2:44" ht="14.85" customHeight="1" thickBot="1">
      <c r="B17" s="2045" t="s">
        <v>2251</v>
      </c>
      <c r="C17" s="2043" t="s">
        <v>4341</v>
      </c>
      <c r="D17" s="2024"/>
      <c r="E17" s="1945" t="str">
        <f t="shared" ca="1" si="0"/>
        <v>VENCIDO</v>
      </c>
      <c r="F17" s="3652" t="s">
        <v>65</v>
      </c>
      <c r="G17" s="211"/>
      <c r="H17" s="3647" t="s">
        <v>4643</v>
      </c>
      <c r="I17" s="2525" t="s">
        <v>5056</v>
      </c>
      <c r="J17" s="3207" t="s">
        <v>3509</v>
      </c>
      <c r="K17" s="3208" t="s">
        <v>5116</v>
      </c>
      <c r="L17" s="3212">
        <v>43902</v>
      </c>
      <c r="M17" s="3424">
        <f ca="1">IF(L17&lt;$A$2,"VENCIDO",L17-$A$2)</f>
        <v>7</v>
      </c>
      <c r="N17" s="3212">
        <v>43993</v>
      </c>
      <c r="O17" s="3425">
        <f ca="1">IF(N17&lt;$A$2,"VENCIDO",N17-$A$2)</f>
        <v>98</v>
      </c>
      <c r="P17" s="3214">
        <v>1991</v>
      </c>
      <c r="Q17" s="2284" t="s">
        <v>3769</v>
      </c>
      <c r="R17" s="1911" t="str">
        <f t="shared" ca="1" si="4"/>
        <v>VENCIDO</v>
      </c>
      <c r="S17" s="1952">
        <v>42005</v>
      </c>
      <c r="T17" s="2175" t="s">
        <v>32</v>
      </c>
      <c r="U17" s="1926" t="s">
        <v>1775</v>
      </c>
      <c r="V17" s="75"/>
      <c r="AB17" s="2085" t="s">
        <v>2251</v>
      </c>
      <c r="AC17" s="2111"/>
      <c r="AD17" s="2104" t="s">
        <v>4341</v>
      </c>
      <c r="AE17" s="2054" t="s">
        <v>5018</v>
      </c>
      <c r="AF17" s="2054"/>
      <c r="AG17" s="2054"/>
      <c r="AH17" s="3791"/>
      <c r="AI17" s="3792"/>
      <c r="AJ17" s="33"/>
      <c r="AM17" s="2161" t="s">
        <v>1909</v>
      </c>
      <c r="AN17" s="790" t="s">
        <v>4362</v>
      </c>
      <c r="AO17" s="2168" t="s">
        <v>3989</v>
      </c>
      <c r="AP17" s="2169" t="s">
        <v>4531</v>
      </c>
      <c r="AQ17" s="2170" t="s">
        <v>4236</v>
      </c>
      <c r="AR17" s="33" t="s">
        <v>2554</v>
      </c>
    </row>
    <row r="18" spans="2:44" ht="14.85" customHeight="1" thickBot="1">
      <c r="B18" s="2031" t="s">
        <v>1446</v>
      </c>
      <c r="C18" s="3354" t="s">
        <v>2659</v>
      </c>
      <c r="D18" s="2330">
        <v>44131</v>
      </c>
      <c r="E18" s="2332">
        <f t="shared" ca="1" si="0"/>
        <v>236</v>
      </c>
      <c r="F18" s="3653" t="s">
        <v>4139</v>
      </c>
      <c r="G18" s="2036" t="s">
        <v>2817</v>
      </c>
      <c r="H18" s="3648" t="s">
        <v>2563</v>
      </c>
      <c r="I18" s="3222" t="s">
        <v>5548</v>
      </c>
      <c r="J18" s="2643" t="s">
        <v>121</v>
      </c>
      <c r="K18" s="2644" t="s">
        <v>2269</v>
      </c>
      <c r="L18" s="2183" t="s">
        <v>2646</v>
      </c>
      <c r="M18" s="2184" t="s">
        <v>122</v>
      </c>
      <c r="N18" s="2181" t="s">
        <v>1744</v>
      </c>
      <c r="O18" s="2182" t="s">
        <v>122</v>
      </c>
      <c r="P18" s="2179"/>
      <c r="Q18" s="1922" t="s">
        <v>4105</v>
      </c>
      <c r="R18" s="2221" t="s">
        <v>1408</v>
      </c>
      <c r="S18" s="76" t="s">
        <v>3478</v>
      </c>
      <c r="T18" s="2491" t="s">
        <v>5050</v>
      </c>
      <c r="U18" s="75"/>
      <c r="V18" s="3390" t="s">
        <v>3327</v>
      </c>
      <c r="W18" s="3391" t="s">
        <v>5793</v>
      </c>
      <c r="X18" s="3380" t="s">
        <v>5583</v>
      </c>
      <c r="Y18" s="3381">
        <v>43500</v>
      </c>
      <c r="AB18" s="2073" t="s">
        <v>1446</v>
      </c>
      <c r="AC18" s="2112" t="s">
        <v>1259</v>
      </c>
      <c r="AD18" s="2052" t="s">
        <v>2659</v>
      </c>
      <c r="AE18" s="2054" t="s">
        <v>5018</v>
      </c>
      <c r="AF18" s="2054"/>
      <c r="AG18" s="2054"/>
      <c r="AH18" s="3789"/>
      <c r="AI18" s="3790"/>
      <c r="AJ18" s="43"/>
      <c r="AM18" s="2161" t="s">
        <v>2516</v>
      </c>
      <c r="AN18" s="790" t="s">
        <v>1106</v>
      </c>
      <c r="AO18" s="2168" t="s">
        <v>4531</v>
      </c>
      <c r="AP18" s="2169" t="s">
        <v>4531</v>
      </c>
      <c r="AQ18" s="2170" t="s">
        <v>349</v>
      </c>
      <c r="AR18" s="33" t="s">
        <v>1812</v>
      </c>
    </row>
    <row r="19" spans="2:44" ht="14.85" customHeight="1" thickBot="1">
      <c r="B19" s="2045" t="s">
        <v>4027</v>
      </c>
      <c r="C19" s="2043" t="s">
        <v>4341</v>
      </c>
      <c r="D19" s="2024"/>
      <c r="E19" s="1945" t="str">
        <f t="shared" ca="1" si="0"/>
        <v>VENCIDO</v>
      </c>
      <c r="F19" s="3655" t="s">
        <v>760</v>
      </c>
      <c r="G19" s="3657" t="s">
        <v>1356</v>
      </c>
      <c r="H19" s="3648" t="s">
        <v>2564</v>
      </c>
      <c r="I19" s="3173" t="s">
        <v>5396</v>
      </c>
      <c r="J19" s="3209" t="s">
        <v>3509</v>
      </c>
      <c r="K19" s="3210" t="s">
        <v>5116</v>
      </c>
      <c r="L19" s="3212">
        <v>43403</v>
      </c>
      <c r="M19" s="3213" t="str">
        <f ca="1">IF(L19&lt;$A$2,"VENCIDO",L19-$A$2)</f>
        <v>VENCIDO</v>
      </c>
      <c r="N19" s="3212">
        <v>45116</v>
      </c>
      <c r="O19" s="3215">
        <f ca="1">IF(N19&lt;$A$2,"VENCIDO",N19-$A$2)</f>
        <v>1221</v>
      </c>
      <c r="P19" s="3216">
        <f ca="1">+O19/365</f>
        <v>3.3452054794520549</v>
      </c>
      <c r="Q19" s="1922" t="s">
        <v>5307</v>
      </c>
      <c r="R19" s="2865" t="s">
        <v>5309</v>
      </c>
      <c r="S19" s="2030"/>
      <c r="T19" s="93"/>
      <c r="U19" s="3247" t="s">
        <v>5310</v>
      </c>
      <c r="V19" s="3392"/>
      <c r="W19" s="3393">
        <v>971568488</v>
      </c>
      <c r="X19" s="3382" t="s">
        <v>5792</v>
      </c>
      <c r="Y19" s="3383"/>
      <c r="AB19" s="2085" t="s">
        <v>4027</v>
      </c>
      <c r="AC19" s="2110"/>
      <c r="AD19" s="2104" t="s">
        <v>4341</v>
      </c>
      <c r="AE19" s="3785" t="s">
        <v>65</v>
      </c>
      <c r="AF19" s="3797"/>
      <c r="AG19" s="3797"/>
      <c r="AH19" s="3786"/>
      <c r="AI19" s="3793" t="s">
        <v>4643</v>
      </c>
      <c r="AJ19" s="3794"/>
      <c r="AM19" s="2161" t="s">
        <v>2817</v>
      </c>
      <c r="AN19" s="790" t="s">
        <v>4255</v>
      </c>
      <c r="AO19" s="2168" t="s">
        <v>4531</v>
      </c>
      <c r="AP19" s="2169" t="s">
        <v>4531</v>
      </c>
      <c r="AQ19" s="2170" t="s">
        <v>4236</v>
      </c>
      <c r="AR19" s="33" t="s">
        <v>2554</v>
      </c>
    </row>
    <row r="20" spans="2:44" ht="14.85" customHeight="1" thickBot="1">
      <c r="B20" s="2045" t="s">
        <v>1317</v>
      </c>
      <c r="C20" s="2043" t="s">
        <v>4341</v>
      </c>
      <c r="D20" s="2024"/>
      <c r="E20" s="1945" t="str">
        <f t="shared" ca="1" si="0"/>
        <v>VENCIDO</v>
      </c>
      <c r="F20" s="3667" t="s">
        <v>1190</v>
      </c>
      <c r="G20" s="2036" t="s">
        <v>2818</v>
      </c>
      <c r="H20" s="3648" t="s">
        <v>1150</v>
      </c>
      <c r="I20" s="3173" t="s">
        <v>5574</v>
      </c>
      <c r="J20" s="1946"/>
      <c r="K20" s="1920"/>
      <c r="L20" s="1901"/>
      <c r="M20" s="1902"/>
      <c r="N20" s="1901"/>
      <c r="O20" s="1325"/>
      <c r="P20" s="1950"/>
      <c r="Q20" s="2029" t="s">
        <v>4244</v>
      </c>
      <c r="R20" s="1969" t="s">
        <v>3444</v>
      </c>
      <c r="S20" s="3253" t="s">
        <v>4243</v>
      </c>
      <c r="T20" s="1897"/>
      <c r="U20" s="1325"/>
      <c r="V20" s="3394" t="s">
        <v>3324</v>
      </c>
      <c r="W20" s="3395" t="s">
        <v>5793</v>
      </c>
      <c r="X20" s="3384" t="s">
        <v>5583</v>
      </c>
      <c r="Y20" s="3385"/>
      <c r="AB20" s="2085" t="s">
        <v>1317</v>
      </c>
      <c r="AC20" s="2110"/>
      <c r="AD20" s="2104" t="s">
        <v>4341</v>
      </c>
      <c r="AE20" s="2114" t="s">
        <v>4139</v>
      </c>
      <c r="AF20" s="2072" t="s">
        <v>1269</v>
      </c>
      <c r="AG20" s="2118" t="s">
        <v>2516</v>
      </c>
      <c r="AH20" s="2091" t="s">
        <v>1106</v>
      </c>
      <c r="AI20" s="2120" t="s">
        <v>2563</v>
      </c>
      <c r="AJ20" s="2098" t="s">
        <v>1684</v>
      </c>
      <c r="AM20" s="2161" t="s">
        <v>1356</v>
      </c>
      <c r="AN20" s="790" t="s">
        <v>1634</v>
      </c>
      <c r="AO20" s="2168" t="s">
        <v>3989</v>
      </c>
      <c r="AP20" s="2169" t="s">
        <v>4531</v>
      </c>
      <c r="AQ20" s="2170" t="s">
        <v>4236</v>
      </c>
      <c r="AR20" s="33" t="s">
        <v>511</v>
      </c>
    </row>
    <row r="21" spans="2:44" ht="14.85" customHeight="1" thickBot="1">
      <c r="B21" s="2031" t="s">
        <v>1447</v>
      </c>
      <c r="C21" s="3354" t="s">
        <v>2659</v>
      </c>
      <c r="D21" s="2024">
        <v>44154</v>
      </c>
      <c r="E21" s="1945">
        <f t="shared" ca="1" si="0"/>
        <v>259</v>
      </c>
      <c r="F21" s="3656" t="s">
        <v>2560</v>
      </c>
      <c r="G21" s="3659" t="s">
        <v>5027</v>
      </c>
      <c r="H21" s="3648" t="s">
        <v>2565</v>
      </c>
      <c r="I21" s="3173" t="s">
        <v>5812</v>
      </c>
      <c r="J21" s="2342" t="s">
        <v>2497</v>
      </c>
      <c r="K21" s="1459"/>
      <c r="L21" s="2339"/>
      <c r="M21" s="2340"/>
      <c r="N21" s="2340"/>
      <c r="O21" s="1459"/>
      <c r="P21" s="211"/>
      <c r="Q21" s="1941" t="s">
        <v>4242</v>
      </c>
      <c r="V21" s="3396"/>
      <c r="W21" s="3397">
        <v>979713717</v>
      </c>
      <c r="X21" s="3386" t="s">
        <v>5794</v>
      </c>
      <c r="Y21" s="3387"/>
      <c r="AB21" s="2073" t="s">
        <v>1447</v>
      </c>
      <c r="AC21" s="965" t="s">
        <v>4890</v>
      </c>
      <c r="AD21" s="2052" t="s">
        <v>2659</v>
      </c>
      <c r="AE21" s="2115" t="s">
        <v>760</v>
      </c>
      <c r="AF21" s="2092" t="s">
        <v>58</v>
      </c>
      <c r="AG21" s="2119" t="s">
        <v>2817</v>
      </c>
      <c r="AH21" s="2093" t="s">
        <v>4255</v>
      </c>
      <c r="AI21" s="2074" t="s">
        <v>2564</v>
      </c>
      <c r="AJ21" s="2102" t="s">
        <v>3532</v>
      </c>
      <c r="AM21" s="2161" t="s">
        <v>2818</v>
      </c>
      <c r="AN21" s="790" t="s">
        <v>1105</v>
      </c>
      <c r="AO21" s="2168" t="s">
        <v>4531</v>
      </c>
      <c r="AP21" s="2169" t="s">
        <v>4531</v>
      </c>
      <c r="AQ21" s="2170" t="s">
        <v>4236</v>
      </c>
      <c r="AR21" s="33" t="s">
        <v>1812</v>
      </c>
    </row>
    <row r="22" spans="2:44" ht="14.85" customHeight="1">
      <c r="B22" s="2045" t="s">
        <v>1318</v>
      </c>
      <c r="C22" s="2043" t="s">
        <v>4341</v>
      </c>
      <c r="D22" s="2024"/>
      <c r="E22" s="1945" t="str">
        <f t="shared" ca="1" si="0"/>
        <v>VENCIDO</v>
      </c>
      <c r="F22" s="3658" t="s">
        <v>3133</v>
      </c>
      <c r="G22" s="3654" t="s">
        <v>2561</v>
      </c>
      <c r="H22" s="3649" t="s">
        <v>1142</v>
      </c>
      <c r="I22" s="2341"/>
      <c r="J22" s="3778" t="s">
        <v>5091</v>
      </c>
      <c r="K22" s="3779"/>
      <c r="L22" s="3779"/>
      <c r="M22" s="3779"/>
      <c r="N22" s="3779"/>
      <c r="O22" s="3779"/>
      <c r="P22" s="3780"/>
      <c r="Q22" s="3019" t="s">
        <v>5379</v>
      </c>
      <c r="R22" s="2234" t="s">
        <v>4419</v>
      </c>
      <c r="S22" s="2207"/>
      <c r="T22" s="2177"/>
      <c r="U22" s="93"/>
      <c r="V22" s="3390" t="s">
        <v>5795</v>
      </c>
      <c r="W22" s="3391" t="s">
        <v>5793</v>
      </c>
      <c r="X22" s="3380" t="s">
        <v>5583</v>
      </c>
      <c r="Y22" s="3388">
        <v>43528</v>
      </c>
      <c r="AB22" s="2085" t="s">
        <v>1318</v>
      </c>
      <c r="AC22" s="2110"/>
      <c r="AD22" s="2104" t="s">
        <v>4341</v>
      </c>
      <c r="AE22" s="2115" t="s">
        <v>1190</v>
      </c>
      <c r="AF22" s="2092" t="s">
        <v>861</v>
      </c>
      <c r="AG22" s="2119" t="s">
        <v>1356</v>
      </c>
      <c r="AH22" s="2093" t="s">
        <v>1634</v>
      </c>
      <c r="AI22" s="2074" t="s">
        <v>1150</v>
      </c>
      <c r="AJ22" s="2102" t="s">
        <v>2719</v>
      </c>
      <c r="AM22" s="2161" t="s">
        <v>5027</v>
      </c>
      <c r="AN22" s="790" t="s">
        <v>282</v>
      </c>
      <c r="AO22" s="2168" t="s">
        <v>4531</v>
      </c>
      <c r="AP22" s="2169" t="s">
        <v>4531</v>
      </c>
      <c r="AQ22" s="2170" t="s">
        <v>4236</v>
      </c>
      <c r="AR22" s="33" t="s">
        <v>53</v>
      </c>
    </row>
    <row r="23" spans="2:44" ht="14.85" customHeight="1" thickBot="1">
      <c r="B23" s="2041" t="s">
        <v>1319</v>
      </c>
      <c r="C23" s="2030" t="s">
        <v>2659</v>
      </c>
      <c r="D23" s="2024"/>
      <c r="E23" s="1945" t="str">
        <f t="shared" ca="1" si="0"/>
        <v>VENCIDO</v>
      </c>
      <c r="F23" s="3653" t="s">
        <v>1135</v>
      </c>
      <c r="G23" s="3654" t="s">
        <v>2562</v>
      </c>
      <c r="H23" s="3648" t="s">
        <v>3131</v>
      </c>
      <c r="I23" s="2038"/>
      <c r="J23" s="3781"/>
      <c r="K23" s="3782"/>
      <c r="L23" s="3782"/>
      <c r="M23" s="3782"/>
      <c r="N23" s="3782"/>
      <c r="O23" s="3782"/>
      <c r="P23" s="3783"/>
      <c r="R23" s="2234" t="s">
        <v>4420</v>
      </c>
      <c r="S23" s="2207"/>
      <c r="T23" s="2177"/>
      <c r="U23" s="93" t="s">
        <v>3552</v>
      </c>
      <c r="V23" s="3396" t="s">
        <v>5018</v>
      </c>
      <c r="W23" s="3397">
        <v>3430210</v>
      </c>
      <c r="X23" s="3389" t="s">
        <v>5796</v>
      </c>
      <c r="Y23" s="3387"/>
      <c r="AB23" s="2087" t="s">
        <v>1319</v>
      </c>
      <c r="AC23" s="2113"/>
      <c r="AD23" s="2052" t="s">
        <v>2659</v>
      </c>
      <c r="AE23" s="2115" t="s">
        <v>2560</v>
      </c>
      <c r="AF23" s="2092" t="s">
        <v>2666</v>
      </c>
      <c r="AG23" s="2119" t="s">
        <v>2818</v>
      </c>
      <c r="AH23" s="2093" t="s">
        <v>1105</v>
      </c>
      <c r="AI23" s="2074" t="s">
        <v>2565</v>
      </c>
      <c r="AJ23" s="2102" t="s">
        <v>2765</v>
      </c>
      <c r="AM23" s="2161" t="s">
        <v>2561</v>
      </c>
      <c r="AN23" s="790" t="s">
        <v>4363</v>
      </c>
      <c r="AO23" s="2168" t="s">
        <v>3989</v>
      </c>
      <c r="AP23" s="2169" t="s">
        <v>4531</v>
      </c>
      <c r="AQ23" s="2170" t="s">
        <v>4236</v>
      </c>
      <c r="AR23" s="33" t="s">
        <v>4124</v>
      </c>
    </row>
    <row r="24" spans="2:44" ht="14.85" customHeight="1">
      <c r="B24" s="3712" t="s">
        <v>1320</v>
      </c>
      <c r="C24" s="3435" t="s">
        <v>2659</v>
      </c>
      <c r="D24" s="3433">
        <v>44017</v>
      </c>
      <c r="E24" s="1945">
        <f t="shared" ca="1" si="0"/>
        <v>122</v>
      </c>
      <c r="F24" s="3660" t="s">
        <v>1438</v>
      </c>
      <c r="G24" s="3654" t="s">
        <v>3969</v>
      </c>
      <c r="H24" s="3648" t="s">
        <v>1589</v>
      </c>
      <c r="I24" s="3409" t="s">
        <v>5815</v>
      </c>
      <c r="J24" s="13"/>
      <c r="K24" s="3410" t="s">
        <v>5848</v>
      </c>
      <c r="L24" s="2" t="s">
        <v>5847</v>
      </c>
      <c r="M24" s="2547"/>
      <c r="N24" s="2549"/>
      <c r="O24" s="2549"/>
      <c r="P24" s="2549"/>
      <c r="Q24" s="8"/>
      <c r="R24" s="2235" t="s">
        <v>4543</v>
      </c>
      <c r="S24" s="2207"/>
      <c r="T24" s="2177" t="s">
        <v>4544</v>
      </c>
      <c r="U24" s="93"/>
      <c r="V24" s="3554" t="s">
        <v>5817</v>
      </c>
      <c r="W24" s="3555" t="s">
        <v>5793</v>
      </c>
      <c r="X24" s="3556" t="s">
        <v>5583</v>
      </c>
      <c r="Y24" s="3557">
        <v>43556</v>
      </c>
      <c r="AB24" s="2073" t="s">
        <v>1320</v>
      </c>
      <c r="AC24" s="965" t="s">
        <v>1444</v>
      </c>
      <c r="AD24" s="2052" t="s">
        <v>2659</v>
      </c>
      <c r="AE24" s="2116" t="s">
        <v>3133</v>
      </c>
      <c r="AF24" s="2094"/>
      <c r="AG24" s="2119" t="s">
        <v>5027</v>
      </c>
      <c r="AH24" s="2093" t="s">
        <v>282</v>
      </c>
      <c r="AI24" s="2074" t="s">
        <v>1142</v>
      </c>
      <c r="AJ24" s="2102" t="s">
        <v>248</v>
      </c>
      <c r="AM24" s="2161" t="s">
        <v>2562</v>
      </c>
      <c r="AN24" s="790" t="s">
        <v>498</v>
      </c>
      <c r="AO24" s="2168" t="s">
        <v>4531</v>
      </c>
      <c r="AP24" s="2169" t="s">
        <v>4531</v>
      </c>
      <c r="AQ24" s="2170" t="s">
        <v>4236</v>
      </c>
      <c r="AR24" s="33" t="s">
        <v>53</v>
      </c>
    </row>
    <row r="25" spans="2:44" ht="14.85" customHeight="1" thickBot="1">
      <c r="B25" s="2031" t="s">
        <v>1434</v>
      </c>
      <c r="C25" s="3435" t="s">
        <v>2659</v>
      </c>
      <c r="D25" s="3433">
        <v>44017</v>
      </c>
      <c r="E25" s="1945">
        <f t="shared" ca="1" si="0"/>
        <v>122</v>
      </c>
      <c r="F25" s="3653" t="s">
        <v>1908</v>
      </c>
      <c r="G25" s="3654" t="s">
        <v>5028</v>
      </c>
      <c r="H25" s="3650" t="s">
        <v>3970</v>
      </c>
      <c r="I25" s="3409" t="s">
        <v>5816</v>
      </c>
      <c r="J25" s="3636" t="s">
        <v>5615</v>
      </c>
      <c r="K25" s="3637" t="s">
        <v>5951</v>
      </c>
      <c r="L25" s="3638"/>
      <c r="M25" s="3636" t="s">
        <v>3372</v>
      </c>
      <c r="O25" s="3274" t="s">
        <v>5845</v>
      </c>
      <c r="P25" s="2549"/>
      <c r="Q25" s="3267"/>
      <c r="R25" s="2234" t="s">
        <v>19</v>
      </c>
      <c r="S25" s="2207"/>
      <c r="T25" s="2177"/>
      <c r="U25" s="93"/>
      <c r="V25" s="3558"/>
      <c r="W25" s="3559">
        <v>942487533</v>
      </c>
      <c r="X25" s="3560" t="s">
        <v>5818</v>
      </c>
      <c r="Y25" s="3561"/>
      <c r="AB25" s="2073" t="s">
        <v>1434</v>
      </c>
      <c r="AC25" s="965" t="s">
        <v>813</v>
      </c>
      <c r="AD25" s="2052" t="s">
        <v>2659</v>
      </c>
      <c r="AE25" s="2115" t="s">
        <v>1135</v>
      </c>
      <c r="AF25" s="2092" t="s">
        <v>1270</v>
      </c>
      <c r="AG25" s="2119" t="s">
        <v>2561</v>
      </c>
      <c r="AH25" s="2093" t="s">
        <v>4363</v>
      </c>
      <c r="AI25" s="2074" t="s">
        <v>3131</v>
      </c>
      <c r="AJ25" s="2102" t="s">
        <v>2455</v>
      </c>
      <c r="AM25" s="2161" t="s">
        <v>3969</v>
      </c>
      <c r="AN25" s="790" t="s">
        <v>497</v>
      </c>
      <c r="AO25" s="2168" t="s">
        <v>4531</v>
      </c>
      <c r="AP25" s="2169" t="s">
        <v>4531</v>
      </c>
      <c r="AQ25" s="2170" t="s">
        <v>4236</v>
      </c>
      <c r="AR25" s="33" t="s">
        <v>839</v>
      </c>
    </row>
    <row r="26" spans="2:44" ht="14.85" customHeight="1">
      <c r="B26" s="2031" t="s">
        <v>1435</v>
      </c>
      <c r="C26" s="3354" t="s">
        <v>2659</v>
      </c>
      <c r="D26" s="2024">
        <v>44152</v>
      </c>
      <c r="E26" s="1945">
        <f t="shared" ca="1" si="0"/>
        <v>257</v>
      </c>
      <c r="F26" s="3661" t="s">
        <v>5563</v>
      </c>
      <c r="G26" s="3654" t="s">
        <v>5029</v>
      </c>
      <c r="H26" s="3373" t="s">
        <v>305</v>
      </c>
      <c r="I26" s="2038"/>
      <c r="J26" s="3621">
        <v>2016</v>
      </c>
      <c r="K26" s="3634" t="s">
        <v>5614</v>
      </c>
      <c r="L26" s="3620"/>
      <c r="M26" s="3622">
        <v>42644</v>
      </c>
      <c r="O26" s="3784">
        <v>13116000</v>
      </c>
      <c r="P26" s="3784"/>
      <c r="Q26" s="3267"/>
      <c r="R26" s="2236" t="s">
        <v>4404</v>
      </c>
      <c r="S26" s="2207"/>
      <c r="T26" s="2177"/>
      <c r="U26" s="13"/>
      <c r="V26" s="3554" t="s">
        <v>5801</v>
      </c>
      <c r="W26" s="3555" t="s">
        <v>5793</v>
      </c>
      <c r="X26" s="3556" t="s">
        <v>5583</v>
      </c>
      <c r="Y26" s="3557">
        <v>43563</v>
      </c>
      <c r="AB26" s="2073" t="s">
        <v>1435</v>
      </c>
      <c r="AC26" s="965" t="s">
        <v>814</v>
      </c>
      <c r="AD26" s="2052" t="s">
        <v>2659</v>
      </c>
      <c r="AE26" s="2115" t="s">
        <v>1438</v>
      </c>
      <c r="AF26" s="2092" t="s">
        <v>4323</v>
      </c>
      <c r="AG26" s="2119" t="s">
        <v>2562</v>
      </c>
      <c r="AH26" s="2093" t="s">
        <v>498</v>
      </c>
      <c r="AI26" s="2074" t="s">
        <v>1589</v>
      </c>
      <c r="AJ26" s="2102" t="s">
        <v>1583</v>
      </c>
      <c r="AM26" s="2161" t="s">
        <v>5028</v>
      </c>
      <c r="AN26" s="790" t="s">
        <v>279</v>
      </c>
      <c r="AO26" s="2168" t="s">
        <v>4531</v>
      </c>
      <c r="AP26" s="2169" t="s">
        <v>4531</v>
      </c>
      <c r="AQ26" s="2170" t="s">
        <v>4236</v>
      </c>
      <c r="AR26" s="33" t="s">
        <v>839</v>
      </c>
    </row>
    <row r="27" spans="2:44" ht="14.85" customHeight="1" thickBot="1">
      <c r="B27" s="3053" t="s">
        <v>4708</v>
      </c>
      <c r="C27" s="3353" t="s">
        <v>2659</v>
      </c>
      <c r="D27" s="2024"/>
      <c r="E27" s="1945" t="str">
        <f t="shared" ca="1" si="0"/>
        <v>VENCIDO</v>
      </c>
      <c r="F27" s="3653" t="s">
        <v>1191</v>
      </c>
      <c r="G27" s="3662" t="s">
        <v>5798</v>
      </c>
      <c r="H27" s="3648" t="s">
        <v>2421</v>
      </c>
      <c r="I27" s="2038"/>
      <c r="J27" s="3621">
        <v>2017</v>
      </c>
      <c r="K27" s="3265" t="s">
        <v>5613</v>
      </c>
      <c r="L27" s="3623"/>
      <c r="M27" s="3622">
        <v>43070</v>
      </c>
      <c r="O27" s="3588" t="s">
        <v>5909</v>
      </c>
      <c r="P27" s="3589">
        <v>43788</v>
      </c>
      <c r="Q27" s="3267"/>
      <c r="R27" s="2236" t="s">
        <v>4405</v>
      </c>
      <c r="V27" s="3558"/>
      <c r="W27" s="3559">
        <v>991578131</v>
      </c>
      <c r="X27" s="3560" t="s">
        <v>5802</v>
      </c>
      <c r="Y27" s="3561"/>
      <c r="AB27" s="2073" t="s">
        <v>4708</v>
      </c>
      <c r="AC27" s="965" t="s">
        <v>815</v>
      </c>
      <c r="AD27" s="2052" t="s">
        <v>2659</v>
      </c>
      <c r="AE27" s="2115" t="s">
        <v>1908</v>
      </c>
      <c r="AF27" s="2092" t="s">
        <v>3007</v>
      </c>
      <c r="AG27" s="2119" t="s">
        <v>3969</v>
      </c>
      <c r="AH27" s="2093" t="s">
        <v>497</v>
      </c>
      <c r="AI27" s="2074" t="s">
        <v>3970</v>
      </c>
      <c r="AJ27" s="2102" t="s">
        <v>4861</v>
      </c>
      <c r="AM27" s="2161" t="s">
        <v>5029</v>
      </c>
      <c r="AN27" s="790" t="s">
        <v>280</v>
      </c>
      <c r="AO27" s="2168" t="s">
        <v>4531</v>
      </c>
      <c r="AP27" s="2169" t="s">
        <v>4531</v>
      </c>
      <c r="AQ27" s="2170" t="s">
        <v>4236</v>
      </c>
      <c r="AR27" s="33" t="s">
        <v>839</v>
      </c>
    </row>
    <row r="28" spans="2:44" ht="14.85" customHeight="1">
      <c r="B28" s="2031" t="s">
        <v>1436</v>
      </c>
      <c r="C28" s="3354" t="s">
        <v>2659</v>
      </c>
      <c r="D28" s="2024">
        <v>44208</v>
      </c>
      <c r="E28" s="1945">
        <f t="shared" ca="1" si="0"/>
        <v>313</v>
      </c>
      <c r="F28" s="3460" t="s">
        <v>3166</v>
      </c>
      <c r="G28" s="3654" t="s">
        <v>5564</v>
      </c>
      <c r="H28" s="3650" t="s">
        <v>3858</v>
      </c>
      <c r="I28" s="2037"/>
      <c r="J28" s="3624">
        <v>2018</v>
      </c>
      <c r="K28" s="3265" t="s">
        <v>5616</v>
      </c>
      <c r="L28" s="3625"/>
      <c r="M28" s="3626">
        <v>43405</v>
      </c>
      <c r="N28" s="3106"/>
      <c r="O28" s="3594" t="s">
        <v>5910</v>
      </c>
      <c r="P28" s="3595">
        <v>0.20347222222222219</v>
      </c>
      <c r="Q28" s="3267"/>
      <c r="R28" s="2234"/>
      <c r="V28" s="3547" t="s">
        <v>5821</v>
      </c>
      <c r="W28" s="3548" t="s">
        <v>5793</v>
      </c>
      <c r="X28" s="3548" t="s">
        <v>5583</v>
      </c>
      <c r="Y28" s="3549">
        <v>43586</v>
      </c>
      <c r="Z28" s="69">
        <v>31731</v>
      </c>
      <c r="AB28" s="2073" t="s">
        <v>1436</v>
      </c>
      <c r="AC28" s="965" t="s">
        <v>816</v>
      </c>
      <c r="AD28" s="2052" t="s">
        <v>2659</v>
      </c>
      <c r="AE28" s="2115" t="s">
        <v>4304</v>
      </c>
      <c r="AF28" s="2092" t="s">
        <v>4361</v>
      </c>
      <c r="AG28" s="2119" t="s">
        <v>5028</v>
      </c>
      <c r="AH28" s="2093" t="s">
        <v>279</v>
      </c>
      <c r="AI28" s="2074" t="s">
        <v>305</v>
      </c>
      <c r="AJ28" s="2102" t="s">
        <v>764</v>
      </c>
      <c r="AM28" s="2161" t="s">
        <v>4709</v>
      </c>
      <c r="AN28" s="790" t="s">
        <v>4679</v>
      </c>
      <c r="AO28" s="2168" t="s">
        <v>4531</v>
      </c>
      <c r="AP28" s="2169" t="s">
        <v>4531</v>
      </c>
      <c r="AQ28" s="2170" t="s">
        <v>4236</v>
      </c>
      <c r="AR28" s="33" t="s">
        <v>839</v>
      </c>
    </row>
    <row r="29" spans="2:44" ht="14.85" customHeight="1" thickBot="1">
      <c r="B29" s="2031" t="s">
        <v>4487</v>
      </c>
      <c r="C29" s="3435" t="s">
        <v>2659</v>
      </c>
      <c r="D29" s="3433">
        <v>44017</v>
      </c>
      <c r="E29" s="1945">
        <f t="shared" ca="1" si="0"/>
        <v>122</v>
      </c>
      <c r="F29" s="3460" t="s">
        <v>175</v>
      </c>
      <c r="G29" s="3654" t="s">
        <v>1439</v>
      </c>
      <c r="H29" s="3648" t="s">
        <v>3536</v>
      </c>
      <c r="I29" s="2038"/>
      <c r="J29" s="3624">
        <v>2019</v>
      </c>
      <c r="K29" s="3630" t="s">
        <v>5947</v>
      </c>
      <c r="L29" s="3632"/>
      <c r="M29" s="3633">
        <v>43770</v>
      </c>
      <c r="O29" s="3588" t="s">
        <v>5909</v>
      </c>
      <c r="P29" s="3592">
        <v>43801</v>
      </c>
      <c r="R29" s="2034"/>
      <c r="S29" s="3773" t="s">
        <v>333</v>
      </c>
      <c r="T29" s="3774"/>
      <c r="V29" s="3550"/>
      <c r="W29" s="3551">
        <v>925886927</v>
      </c>
      <c r="X29" s="3552" t="s">
        <v>5797</v>
      </c>
      <c r="Y29" s="3553"/>
      <c r="Z29">
        <v>32</v>
      </c>
      <c r="AB29" s="2073" t="s">
        <v>4487</v>
      </c>
      <c r="AC29" s="965" t="s">
        <v>2837</v>
      </c>
      <c r="AD29" s="2052" t="s">
        <v>2659</v>
      </c>
      <c r="AE29" s="2115" t="s">
        <v>1191</v>
      </c>
      <c r="AF29" s="2092" t="s">
        <v>4364</v>
      </c>
      <c r="AG29" s="2119" t="s">
        <v>5029</v>
      </c>
      <c r="AH29" s="2093" t="s">
        <v>280</v>
      </c>
      <c r="AI29" s="2074" t="s">
        <v>2421</v>
      </c>
      <c r="AJ29" s="2102" t="s">
        <v>1878</v>
      </c>
      <c r="AM29" s="2161" t="s">
        <v>1143</v>
      </c>
      <c r="AN29" s="790" t="s">
        <v>669</v>
      </c>
      <c r="AO29" s="2168" t="s">
        <v>4531</v>
      </c>
      <c r="AP29" s="2169" t="s">
        <v>4531</v>
      </c>
      <c r="AQ29" s="2170" t="s">
        <v>4236</v>
      </c>
      <c r="AR29" s="33" t="s">
        <v>5000</v>
      </c>
    </row>
    <row r="30" spans="2:44" ht="14.85" customHeight="1">
      <c r="B30" s="2031" t="s">
        <v>1147</v>
      </c>
      <c r="C30" s="3435" t="s">
        <v>2659</v>
      </c>
      <c r="D30" s="3433">
        <v>44017</v>
      </c>
      <c r="E30" s="1945">
        <f t="shared" ca="1" si="0"/>
        <v>122</v>
      </c>
      <c r="F30" s="3653" t="s">
        <v>1148</v>
      </c>
      <c r="G30" s="3664" t="s">
        <v>3659</v>
      </c>
      <c r="H30" s="3651" t="s">
        <v>559</v>
      </c>
      <c r="I30" s="2038"/>
      <c r="J30" s="3627"/>
      <c r="K30" s="3628"/>
      <c r="L30" s="3628"/>
      <c r="M30" s="96">
        <v>2</v>
      </c>
      <c r="O30" s="3590" t="s">
        <v>5927</v>
      </c>
      <c r="P30" s="3593">
        <v>0.52847222222222223</v>
      </c>
      <c r="R30" s="2034"/>
      <c r="S30" s="2328" t="s">
        <v>1747</v>
      </c>
      <c r="T30" s="2346">
        <v>43305</v>
      </c>
      <c r="V30" s="3547" t="s">
        <v>5819</v>
      </c>
      <c r="W30" s="3548" t="s">
        <v>5793</v>
      </c>
      <c r="X30" s="3548" t="s">
        <v>5583</v>
      </c>
      <c r="Y30" s="3549">
        <v>43586</v>
      </c>
      <c r="AB30" s="2073" t="s">
        <v>1147</v>
      </c>
      <c r="AC30" s="965" t="s">
        <v>1555</v>
      </c>
      <c r="AD30" s="2052" t="s">
        <v>2659</v>
      </c>
      <c r="AE30" s="2116" t="s">
        <v>3166</v>
      </c>
      <c r="AF30" s="2094"/>
      <c r="AG30" s="2119" t="s">
        <v>4709</v>
      </c>
      <c r="AH30" s="2093" t="s">
        <v>4679</v>
      </c>
      <c r="AI30" s="2074" t="s">
        <v>3858</v>
      </c>
      <c r="AJ30" s="2102" t="s">
        <v>3972</v>
      </c>
      <c r="AM30" s="2161" t="s">
        <v>1439</v>
      </c>
      <c r="AN30" s="790" t="s">
        <v>669</v>
      </c>
      <c r="AO30" s="2168" t="s">
        <v>3989</v>
      </c>
      <c r="AP30" s="2169" t="s">
        <v>4531</v>
      </c>
      <c r="AQ30" s="2170" t="s">
        <v>4236</v>
      </c>
      <c r="AR30" s="33" t="s">
        <v>5000</v>
      </c>
    </row>
    <row r="31" spans="2:44" ht="14.85" customHeight="1" thickBot="1">
      <c r="B31" s="3669" t="s">
        <v>1149</v>
      </c>
      <c r="C31" s="3670" t="s">
        <v>2659</v>
      </c>
      <c r="D31" s="3668">
        <v>44212</v>
      </c>
      <c r="E31" s="1945">
        <f t="shared" ca="1" si="0"/>
        <v>317</v>
      </c>
      <c r="F31" s="3663" t="s">
        <v>1136</v>
      </c>
      <c r="G31" s="3173" t="s">
        <v>5059</v>
      </c>
      <c r="H31" s="3651" t="s">
        <v>5054</v>
      </c>
      <c r="I31" s="2038"/>
      <c r="J31" s="3358"/>
      <c r="K31" s="3106" t="s">
        <v>1522</v>
      </c>
      <c r="L31" s="2549">
        <v>98</v>
      </c>
      <c r="M31" s="2549">
        <f>+L31*M30</f>
        <v>196</v>
      </c>
      <c r="N31" s="2549" t="s">
        <v>5931</v>
      </c>
      <c r="O31" s="3588" t="s">
        <v>5909</v>
      </c>
      <c r="P31" s="3592">
        <v>43801</v>
      </c>
      <c r="Q31" s="3596"/>
      <c r="R31" s="2034"/>
      <c r="S31" s="2328" t="s">
        <v>1748</v>
      </c>
      <c r="T31" s="2346">
        <f>+T30+30</f>
        <v>43335</v>
      </c>
      <c r="V31" s="3550"/>
      <c r="W31" s="3551">
        <v>910629506</v>
      </c>
      <c r="X31" s="3552" t="s">
        <v>5820</v>
      </c>
      <c r="Y31" s="3553"/>
      <c r="Z31">
        <v>42</v>
      </c>
      <c r="AB31" s="2073" t="s">
        <v>1149</v>
      </c>
      <c r="AC31" s="965" t="s">
        <v>129</v>
      </c>
      <c r="AD31" s="2052" t="s">
        <v>2659</v>
      </c>
      <c r="AE31" s="2115" t="s">
        <v>1937</v>
      </c>
      <c r="AF31" s="2092" t="s">
        <v>4204</v>
      </c>
      <c r="AG31" s="2119" t="s">
        <v>1143</v>
      </c>
      <c r="AH31" s="2093" t="s">
        <v>669</v>
      </c>
      <c r="AI31" s="2074" t="s">
        <v>1588</v>
      </c>
      <c r="AJ31" s="2102" t="s">
        <v>3973</v>
      </c>
      <c r="AM31" s="2163" t="s">
        <v>2819</v>
      </c>
      <c r="AN31" s="2150" t="s">
        <v>3228</v>
      </c>
      <c r="AO31" s="2172" t="s">
        <v>3989</v>
      </c>
      <c r="AP31" s="2173" t="s">
        <v>4531</v>
      </c>
      <c r="AQ31" s="2174" t="s">
        <v>4236</v>
      </c>
      <c r="AR31" s="43" t="s">
        <v>2553</v>
      </c>
    </row>
    <row r="32" spans="2:44" ht="14.85" customHeight="1" thickBot="1">
      <c r="B32" s="2031" t="s">
        <v>4138</v>
      </c>
      <c r="C32" s="3435" t="s">
        <v>2659</v>
      </c>
      <c r="D32" s="3433">
        <v>44017</v>
      </c>
      <c r="E32" s="1945">
        <f t="shared" ca="1" si="0"/>
        <v>122</v>
      </c>
      <c r="F32" s="3460" t="s">
        <v>3167</v>
      </c>
      <c r="G32" s="3173" t="s">
        <v>5955</v>
      </c>
      <c r="H32" s="3651" t="s">
        <v>5055</v>
      </c>
      <c r="I32" s="2037"/>
      <c r="K32" s="3106" t="s">
        <v>1521</v>
      </c>
      <c r="L32" s="2549">
        <v>138</v>
      </c>
      <c r="M32" s="2549">
        <f>+L32*M30</f>
        <v>276</v>
      </c>
      <c r="N32" s="2549"/>
      <c r="O32" s="3590" t="s">
        <v>5933</v>
      </c>
      <c r="P32" s="3593">
        <v>0.53194444444444444</v>
      </c>
      <c r="Q32" s="3591" t="s">
        <v>5929</v>
      </c>
      <c r="S32" s="2328" t="s">
        <v>331</v>
      </c>
      <c r="T32" s="2346">
        <f>30+T31</f>
        <v>43365</v>
      </c>
      <c r="V32" s="3547" t="s">
        <v>5822</v>
      </c>
      <c r="W32" s="3548" t="s">
        <v>5793</v>
      </c>
      <c r="X32" s="3548" t="s">
        <v>5583</v>
      </c>
      <c r="Y32" s="3549">
        <v>43586</v>
      </c>
      <c r="AB32" s="2073" t="s">
        <v>4138</v>
      </c>
      <c r="AC32" s="965" t="s">
        <v>130</v>
      </c>
      <c r="AD32" s="2052" t="s">
        <v>2659</v>
      </c>
      <c r="AE32" s="2115" t="s">
        <v>1148</v>
      </c>
      <c r="AF32" s="2092" t="s">
        <v>1097</v>
      </c>
      <c r="AG32" s="2119" t="s">
        <v>1439</v>
      </c>
      <c r="AH32" s="2093" t="s">
        <v>669</v>
      </c>
      <c r="AI32" s="2121"/>
      <c r="AJ32" s="2098"/>
      <c r="AM32"/>
      <c r="AR32" s="2164" t="s">
        <v>4165</v>
      </c>
    </row>
    <row r="33" spans="2:39" ht="14.85" customHeight="1" thickBot="1">
      <c r="B33" s="3053" t="s">
        <v>1132</v>
      </c>
      <c r="C33" s="3353" t="s">
        <v>2659</v>
      </c>
      <c r="D33" s="2024"/>
      <c r="E33" s="1945" t="str">
        <f t="shared" ca="1" si="0"/>
        <v>VENCIDO</v>
      </c>
      <c r="F33" s="3653" t="s">
        <v>1909</v>
      </c>
      <c r="G33" s="1900"/>
      <c r="H33" s="3651" t="s">
        <v>5063</v>
      </c>
      <c r="I33" s="1919" t="s">
        <v>3226</v>
      </c>
      <c r="K33" s="3757">
        <v>43862</v>
      </c>
      <c r="L33" s="2549">
        <v>0</v>
      </c>
      <c r="M33" s="2549"/>
      <c r="N33" s="2549" t="s">
        <v>5931</v>
      </c>
      <c r="O33" s="3588" t="s">
        <v>5909</v>
      </c>
      <c r="P33" s="3592">
        <v>43818</v>
      </c>
      <c r="Q33" s="3596"/>
      <c r="S33" s="2328" t="s">
        <v>332</v>
      </c>
      <c r="T33" s="2346">
        <f>30+T32</f>
        <v>43395</v>
      </c>
      <c r="V33" s="3550"/>
      <c r="W33" s="3551">
        <v>991056364</v>
      </c>
      <c r="X33" s="3552" t="s">
        <v>5823</v>
      </c>
      <c r="Y33" s="3553"/>
      <c r="AB33" s="2073" t="s">
        <v>1132</v>
      </c>
      <c r="AC33" s="965" t="s">
        <v>131</v>
      </c>
      <c r="AD33" s="2052" t="s">
        <v>2659</v>
      </c>
      <c r="AE33" s="2115" t="s">
        <v>1136</v>
      </c>
      <c r="AF33" s="2092" t="s">
        <v>3753</v>
      </c>
      <c r="AG33" s="2095"/>
      <c r="AH33" s="2096"/>
      <c r="AI33" s="3785" t="s">
        <v>3226</v>
      </c>
      <c r="AJ33" s="3786"/>
      <c r="AM33"/>
    </row>
    <row r="34" spans="2:39" ht="14.85" customHeight="1" thickBot="1">
      <c r="B34" s="2031" t="s">
        <v>1146</v>
      </c>
      <c r="C34" s="3354" t="s">
        <v>2659</v>
      </c>
      <c r="D34" s="2330">
        <v>44126</v>
      </c>
      <c r="E34" s="2332">
        <f t="shared" ca="1" si="0"/>
        <v>231</v>
      </c>
      <c r="F34" s="3665" t="s">
        <v>2516</v>
      </c>
      <c r="G34" s="3666"/>
      <c r="H34" s="3651" t="s">
        <v>5064</v>
      </c>
      <c r="I34" s="2036" t="s">
        <v>2819</v>
      </c>
      <c r="K34" s="3757">
        <v>43864</v>
      </c>
      <c r="L34" s="2549">
        <v>0</v>
      </c>
      <c r="M34" s="2549"/>
      <c r="N34" s="2549"/>
      <c r="O34" s="3629" t="s">
        <v>5946</v>
      </c>
      <c r="P34" s="3593">
        <v>0.49027777777777781</v>
      </c>
      <c r="Q34" s="3591" t="s">
        <v>5945</v>
      </c>
      <c r="S34" s="3325" t="s">
        <v>5448</v>
      </c>
      <c r="T34" s="3326"/>
      <c r="V34" s="3547" t="s">
        <v>5824</v>
      </c>
      <c r="W34" s="3548" t="s">
        <v>5793</v>
      </c>
      <c r="X34" s="3548" t="s">
        <v>5583</v>
      </c>
      <c r="Y34" s="3549">
        <v>43586</v>
      </c>
      <c r="AB34" s="2073" t="s">
        <v>1146</v>
      </c>
      <c r="AC34" s="965" t="s">
        <v>132</v>
      </c>
      <c r="AD34" s="2052" t="s">
        <v>2659</v>
      </c>
      <c r="AE34" s="2116" t="s">
        <v>3167</v>
      </c>
      <c r="AF34" s="2094"/>
      <c r="AG34" s="2097"/>
      <c r="AH34" s="2098"/>
      <c r="AI34" s="2120" t="s">
        <v>2819</v>
      </c>
      <c r="AJ34" s="2103" t="s">
        <v>3228</v>
      </c>
      <c r="AM34"/>
    </row>
    <row r="35" spans="2:39" ht="14.85" customHeight="1" thickBot="1">
      <c r="B35" s="2031" t="s">
        <v>1133</v>
      </c>
      <c r="C35" s="3354" t="s">
        <v>2659</v>
      </c>
      <c r="D35" s="2024">
        <v>43994</v>
      </c>
      <c r="E35" s="1945">
        <f t="shared" ca="1" si="0"/>
        <v>99</v>
      </c>
      <c r="F35" s="3801" t="str">
        <f>+VENCIMIENTOS!N31</f>
        <v>Onomásticos del Personal</v>
      </c>
      <c r="G35" s="3802"/>
      <c r="H35" s="3003" t="s">
        <v>5133</v>
      </c>
      <c r="I35" s="2341"/>
      <c r="K35" s="3757">
        <v>43865</v>
      </c>
      <c r="L35" s="2549">
        <v>0</v>
      </c>
      <c r="M35" s="2549"/>
      <c r="N35" s="2549"/>
      <c r="O35" t="s">
        <v>5930</v>
      </c>
      <c r="P35" t="s">
        <v>5928</v>
      </c>
      <c r="Q35" s="3586" t="s">
        <v>5932</v>
      </c>
      <c r="R35" s="91"/>
      <c r="S35" s="3327"/>
      <c r="T35" s="3328"/>
      <c r="V35" s="3550"/>
      <c r="W35" s="3551">
        <v>942649856</v>
      </c>
      <c r="X35" s="3552" t="s">
        <v>5825</v>
      </c>
      <c r="Y35" s="3553"/>
      <c r="AB35" s="2088" t="s">
        <v>1133</v>
      </c>
      <c r="AC35" s="2109" t="s">
        <v>1115</v>
      </c>
      <c r="AD35" s="2053" t="s">
        <v>2659</v>
      </c>
      <c r="AE35" s="2117" t="s">
        <v>1909</v>
      </c>
      <c r="AF35" s="2099" t="s">
        <v>4362</v>
      </c>
      <c r="AG35" s="2100"/>
      <c r="AH35" s="2101"/>
      <c r="AI35" s="2081"/>
      <c r="AJ35" s="2082"/>
      <c r="AM35"/>
    </row>
    <row r="36" spans="2:39" ht="14.85" customHeight="1">
      <c r="B36" s="2031" t="s">
        <v>1145</v>
      </c>
      <c r="C36" s="3435" t="s">
        <v>2659</v>
      </c>
      <c r="D36" s="3433">
        <v>44017</v>
      </c>
      <c r="E36" s="1898">
        <f t="shared" ca="1" si="0"/>
        <v>122</v>
      </c>
      <c r="F36" s="3643" t="str">
        <f ca="1">+VENCIMIENTOS!N32</f>
        <v xml:space="preserve"> </v>
      </c>
      <c r="G36" s="3644"/>
      <c r="H36" s="2527"/>
      <c r="I36" s="2341"/>
      <c r="K36" s="3757">
        <v>0</v>
      </c>
      <c r="L36" s="2549">
        <v>0</v>
      </c>
      <c r="M36" s="2549"/>
      <c r="N36" s="2549"/>
      <c r="R36" s="91"/>
      <c r="V36" s="3547" t="s">
        <v>5826</v>
      </c>
      <c r="W36" s="3548" t="s">
        <v>5793</v>
      </c>
      <c r="X36" s="3548" t="s">
        <v>5583</v>
      </c>
      <c r="Y36" s="3549">
        <v>43586</v>
      </c>
      <c r="AM36"/>
    </row>
    <row r="37" spans="2:39" ht="14.85" customHeight="1" thickBot="1">
      <c r="B37" s="2031" t="s">
        <v>1437</v>
      </c>
      <c r="C37" s="3435" t="s">
        <v>2659</v>
      </c>
      <c r="D37" s="3433">
        <v>44017</v>
      </c>
      <c r="E37" s="1898">
        <f t="shared" ca="1" si="0"/>
        <v>122</v>
      </c>
      <c r="F37" s="3639" t="str">
        <f ca="1">+VENCIMIENTOS!N33</f>
        <v xml:space="preserve"> </v>
      </c>
      <c r="G37" s="3640"/>
      <c r="H37" s="2040"/>
      <c r="I37" s="2275"/>
      <c r="K37" s="3362" t="s">
        <v>5810</v>
      </c>
      <c r="L37" s="3264"/>
      <c r="M37" s="3264"/>
      <c r="R37" s="91"/>
      <c r="V37" s="3550"/>
      <c r="W37" s="3551">
        <v>976071626</v>
      </c>
      <c r="X37" s="3552" t="s">
        <v>5827</v>
      </c>
      <c r="Y37" s="3553"/>
    </row>
    <row r="38" spans="2:39" ht="14.85" customHeight="1">
      <c r="B38" s="2031" t="s">
        <v>1907</v>
      </c>
      <c r="C38" s="3435" t="s">
        <v>2659</v>
      </c>
      <c r="D38" s="3433">
        <v>44017</v>
      </c>
      <c r="E38" s="1898">
        <f t="shared" ca="1" si="0"/>
        <v>122</v>
      </c>
      <c r="F38" s="3641" t="str">
        <f ca="1">+VENCIMIENTOS!N34</f>
        <v xml:space="preserve"> </v>
      </c>
      <c r="G38" s="3642"/>
      <c r="H38" s="2371" t="s">
        <v>5094</v>
      </c>
      <c r="J38">
        <v>2151</v>
      </c>
      <c r="K38" s="3363" t="s">
        <v>5803</v>
      </c>
      <c r="L38" s="3364"/>
      <c r="M38" s="3364"/>
      <c r="N38" s="3365" t="s">
        <v>5808</v>
      </c>
      <c r="R38" s="91"/>
      <c r="S38" s="3773" t="s">
        <v>333</v>
      </c>
      <c r="T38" s="3774"/>
      <c r="V38" s="3495" t="s">
        <v>5838</v>
      </c>
      <c r="W38" s="3496" t="s">
        <v>5832</v>
      </c>
      <c r="X38" s="3497"/>
      <c r="Y38" s="3498" t="s">
        <v>5840</v>
      </c>
    </row>
    <row r="39" spans="2:39" ht="14.85" customHeight="1" thickBot="1">
      <c r="B39" s="2059" t="s">
        <v>4905</v>
      </c>
      <c r="C39" s="3357" t="s">
        <v>2659</v>
      </c>
      <c r="D39" s="2025">
        <v>44227</v>
      </c>
      <c r="E39" s="1899">
        <f t="shared" ca="1" si="0"/>
        <v>332</v>
      </c>
      <c r="F39" s="3639" t="str">
        <f ca="1">+VENCIMIENTOS!R32</f>
        <v xml:space="preserve"> </v>
      </c>
      <c r="G39" s="3640"/>
      <c r="H39" s="2370" t="s">
        <v>570</v>
      </c>
      <c r="J39">
        <v>229</v>
      </c>
      <c r="K39" s="3366" t="s">
        <v>5809</v>
      </c>
      <c r="L39" s="3367" t="s">
        <v>5804</v>
      </c>
      <c r="M39" s="3368" t="s">
        <v>5805</v>
      </c>
      <c r="N39" s="3369">
        <v>220</v>
      </c>
      <c r="R39" s="91"/>
      <c r="S39" s="2328" t="s">
        <v>1747</v>
      </c>
      <c r="T39" s="2346">
        <v>43427</v>
      </c>
      <c r="V39" s="3499" t="s">
        <v>5841</v>
      </c>
      <c r="W39" s="3500" t="s">
        <v>5843</v>
      </c>
      <c r="X39" s="3501" t="s">
        <v>5834</v>
      </c>
      <c r="Y39" s="3502">
        <v>43617</v>
      </c>
    </row>
    <row r="40" spans="2:39" ht="16.5" thickBot="1">
      <c r="B40" s="2223" t="s">
        <v>5370</v>
      </c>
      <c r="C40" s="3004"/>
      <c r="D40" s="3005"/>
      <c r="E40" s="2222"/>
      <c r="F40" s="3639" t="str">
        <f ca="1">+VENCIMIENTOS!R33</f>
        <v xml:space="preserve"> </v>
      </c>
      <c r="G40" s="3640"/>
      <c r="H40" s="2224" t="s">
        <v>242</v>
      </c>
      <c r="J40">
        <v>71</v>
      </c>
      <c r="K40" s="1866">
        <f>+J40*2</f>
        <v>142</v>
      </c>
      <c r="L40" s="3370" t="s">
        <v>5806</v>
      </c>
      <c r="M40" s="3371" t="s">
        <v>5807</v>
      </c>
      <c r="N40" s="3372">
        <f>12*220/16.5</f>
        <v>160</v>
      </c>
      <c r="R40" s="91"/>
      <c r="S40" s="2328" t="s">
        <v>1748</v>
      </c>
      <c r="T40" s="2346">
        <f>+T39+30</f>
        <v>43457</v>
      </c>
      <c r="U40" s="2486"/>
      <c r="V40" s="3503" t="s">
        <v>5589</v>
      </c>
      <c r="W40" s="3504" t="s">
        <v>5844</v>
      </c>
      <c r="X40" s="3505"/>
      <c r="Y40" s="3506"/>
    </row>
    <row r="41" spans="2:39" ht="14.85" customHeight="1" thickBot="1">
      <c r="B41" s="3007" t="s">
        <v>5365</v>
      </c>
      <c r="C41" s="3006"/>
      <c r="D41" s="3006"/>
      <c r="E41" s="2222"/>
      <c r="F41" s="3645" t="str">
        <f ca="1">+VENCIMIENTOS!R34</f>
        <v xml:space="preserve"> </v>
      </c>
      <c r="G41" s="3646"/>
      <c r="H41" s="2224" t="s">
        <v>243</v>
      </c>
      <c r="J41">
        <v>66</v>
      </c>
      <c r="K41" s="1866">
        <f>+J41*2</f>
        <v>132</v>
      </c>
      <c r="Q41" s="2033"/>
      <c r="S41" s="2328" t="s">
        <v>331</v>
      </c>
      <c r="T41" s="2346">
        <f>30+T40</f>
        <v>43487</v>
      </c>
      <c r="U41" s="2327"/>
      <c r="V41" s="3507" t="s">
        <v>5793</v>
      </c>
      <c r="W41" s="3508">
        <v>927019337</v>
      </c>
      <c r="X41" s="3509" t="s">
        <v>5842</v>
      </c>
      <c r="Y41" s="3510"/>
    </row>
    <row r="42" spans="2:39" ht="14.85" customHeight="1">
      <c r="B42" s="3007" t="s">
        <v>5366</v>
      </c>
      <c r="C42" s="3006"/>
      <c r="D42" s="3006"/>
      <c r="E42" s="2222"/>
      <c r="F42" s="2224"/>
      <c r="H42" s="2224" t="s">
        <v>244</v>
      </c>
      <c r="L42" s="2207"/>
      <c r="Q42" s="2033"/>
      <c r="S42" s="2328" t="s">
        <v>332</v>
      </c>
      <c r="T42" s="2346">
        <f>30+T41</f>
        <v>43517</v>
      </c>
      <c r="U42" s="2327"/>
      <c r="V42" s="3495" t="s">
        <v>5838</v>
      </c>
      <c r="W42" s="3496" t="s">
        <v>5833</v>
      </c>
      <c r="X42" s="3497"/>
      <c r="Y42" s="3498" t="s">
        <v>5839</v>
      </c>
    </row>
    <row r="43" spans="2:39" ht="14.85" customHeight="1">
      <c r="B43" s="3007" t="s">
        <v>5367</v>
      </c>
      <c r="C43" s="3006"/>
      <c r="D43" s="3006"/>
      <c r="E43" s="2222"/>
      <c r="F43" s="2224"/>
      <c r="H43" s="2224" t="s">
        <v>4646</v>
      </c>
      <c r="L43" s="2207" t="s">
        <v>5610</v>
      </c>
      <c r="Q43" s="2033"/>
      <c r="S43" s="3325" t="s">
        <v>5562</v>
      </c>
      <c r="T43" s="3326"/>
      <c r="U43" s="2327"/>
      <c r="V43" s="3511" t="s">
        <v>5835</v>
      </c>
      <c r="W43" s="3512">
        <v>61845626</v>
      </c>
      <c r="X43" s="3501" t="s">
        <v>5834</v>
      </c>
      <c r="Y43" s="3502">
        <v>43619</v>
      </c>
    </row>
    <row r="44" spans="2:39" ht="14.85" customHeight="1">
      <c r="B44" s="3007" t="s">
        <v>5369</v>
      </c>
      <c r="C44" s="3006"/>
      <c r="D44" s="3006"/>
      <c r="E44" s="2222"/>
      <c r="F44" s="2224" t="s">
        <v>244</v>
      </c>
      <c r="H44" s="2224" t="s">
        <v>2329</v>
      </c>
      <c r="J44" s="2396" t="s">
        <v>5611</v>
      </c>
      <c r="L44" s="2207" t="s">
        <v>5608</v>
      </c>
      <c r="M44" s="2396" t="s">
        <v>5609</v>
      </c>
      <c r="N44" s="2396" t="s">
        <v>5612</v>
      </c>
      <c r="Q44" s="2033"/>
      <c r="S44" s="3327"/>
      <c r="T44" s="3328"/>
      <c r="U44" s="2327"/>
      <c r="V44" s="3503" t="s">
        <v>5589</v>
      </c>
      <c r="W44" s="3504" t="s">
        <v>5836</v>
      </c>
      <c r="X44" s="3505"/>
      <c r="Y44" s="3506"/>
    </row>
    <row r="45" spans="2:39" ht="14.85" customHeight="1" thickBot="1">
      <c r="B45" s="3007" t="s">
        <v>5368</v>
      </c>
      <c r="C45" s="3006"/>
      <c r="D45" s="3006"/>
      <c r="E45" s="2222"/>
      <c r="F45" s="2224" t="s">
        <v>4646</v>
      </c>
      <c r="G45" s="2257"/>
      <c r="J45" s="2396" t="s">
        <v>5606</v>
      </c>
      <c r="L45" s="2207">
        <v>79.8</v>
      </c>
      <c r="M45">
        <v>76.02</v>
      </c>
      <c r="N45" s="91">
        <f>+L45-M45</f>
        <v>3.7800000000000011</v>
      </c>
      <c r="Q45" s="2257"/>
      <c r="U45" s="2327"/>
      <c r="V45" s="3507" t="s">
        <v>5793</v>
      </c>
      <c r="W45" s="3508">
        <v>925152719</v>
      </c>
      <c r="X45" s="3509" t="s">
        <v>5837</v>
      </c>
      <c r="Y45" s="3510"/>
    </row>
    <row r="46" spans="2:39" ht="14.85" customHeight="1">
      <c r="B46" s="3007"/>
      <c r="C46"/>
      <c r="D46" s="636"/>
      <c r="E46" s="2222"/>
      <c r="F46" s="2224" t="s">
        <v>571</v>
      </c>
      <c r="G46" s="2257"/>
      <c r="J46" s="2396" t="s">
        <v>5607</v>
      </c>
      <c r="L46" s="2207">
        <v>78</v>
      </c>
      <c r="M46">
        <v>51.59</v>
      </c>
      <c r="N46" s="91">
        <f>+L46-M46</f>
        <v>26.409999999999997</v>
      </c>
      <c r="O46" s="2176"/>
      <c r="P46" s="2327"/>
      <c r="S46" s="3773" t="s">
        <v>333</v>
      </c>
      <c r="T46" s="3774"/>
      <c r="V46" s="3513" t="s">
        <v>5838</v>
      </c>
      <c r="W46" s="3514" t="s">
        <v>5859</v>
      </c>
      <c r="X46" s="3515"/>
      <c r="Y46" s="3516" t="s">
        <v>5856</v>
      </c>
    </row>
    <row r="47" spans="2:39" ht="14.85" customHeight="1">
      <c r="B47" s="3007"/>
      <c r="C47"/>
      <c r="D47" s="636"/>
      <c r="E47" s="2222"/>
      <c r="F47" s="2224"/>
      <c r="G47" s="2257"/>
      <c r="J47" s="2396"/>
      <c r="L47" s="2207"/>
      <c r="N47" s="91"/>
      <c r="O47" s="2176"/>
      <c r="P47" s="2327"/>
      <c r="S47" s="3750"/>
      <c r="T47" s="3751"/>
      <c r="V47" s="3517"/>
      <c r="W47" s="3752"/>
      <c r="X47" s="3753"/>
      <c r="Y47" s="3754"/>
    </row>
    <row r="48" spans="2:39" ht="14.85" customHeight="1">
      <c r="B48" s="3755">
        <v>3</v>
      </c>
      <c r="C48" t="s">
        <v>5980</v>
      </c>
      <c r="D48" s="636"/>
      <c r="E48" s="3153">
        <v>280</v>
      </c>
      <c r="F48" s="3153">
        <f>+B48*E48</f>
        <v>840</v>
      </c>
      <c r="G48" s="3153"/>
      <c r="H48" s="3756" t="s">
        <v>5982</v>
      </c>
      <c r="J48" s="2396"/>
      <c r="K48" s="134" t="s">
        <v>5983</v>
      </c>
      <c r="L48" s="2207"/>
      <c r="N48" s="91"/>
      <c r="O48" s="2176"/>
      <c r="P48" s="2327"/>
      <c r="S48" s="3750"/>
      <c r="T48" s="3751"/>
      <c r="V48" s="3517"/>
      <c r="W48" s="3752"/>
      <c r="X48" s="3753"/>
      <c r="Y48" s="3754"/>
    </row>
    <row r="49" spans="2:25" ht="14.85" customHeight="1">
      <c r="B49" s="3755">
        <v>2</v>
      </c>
      <c r="C49" s="2396" t="s">
        <v>5981</v>
      </c>
      <c r="D49" s="636"/>
      <c r="E49" s="3153">
        <v>46</v>
      </c>
      <c r="F49" s="3153">
        <f>+B49*E49</f>
        <v>92</v>
      </c>
      <c r="G49" s="3153"/>
      <c r="H49" s="134" t="s">
        <v>5984</v>
      </c>
      <c r="J49" s="2396"/>
      <c r="L49" s="3756" t="s">
        <v>5985</v>
      </c>
      <c r="N49" s="91"/>
      <c r="O49" s="2176"/>
      <c r="P49" s="2327"/>
      <c r="S49" s="3750"/>
      <c r="T49" s="3751"/>
      <c r="V49" s="3517"/>
      <c r="W49" s="3752"/>
      <c r="X49" s="3753"/>
      <c r="Y49" s="3754"/>
    </row>
    <row r="50" spans="2:25" ht="14.85" customHeight="1">
      <c r="B50" s="3007"/>
      <c r="C50"/>
      <c r="D50" s="636"/>
      <c r="E50" s="3153"/>
      <c r="F50" s="3153">
        <f>+F49+F48</f>
        <v>932</v>
      </c>
      <c r="G50" s="3153"/>
      <c r="J50" s="2396"/>
      <c r="L50" s="2207"/>
      <c r="N50" s="91"/>
      <c r="O50" s="2176"/>
      <c r="P50" s="2327"/>
      <c r="S50" s="3750"/>
      <c r="T50" s="3751"/>
      <c r="V50" s="3517"/>
      <c r="W50" s="3752"/>
      <c r="X50" s="3753"/>
      <c r="Y50" s="3754"/>
    </row>
    <row r="51" spans="2:25" ht="14.85" customHeight="1">
      <c r="B51" s="3007"/>
      <c r="C51"/>
      <c r="D51" s="636"/>
      <c r="E51" s="2222"/>
      <c r="F51" s="2224"/>
      <c r="G51" s="2257"/>
      <c r="H51" s="3756"/>
      <c r="J51" s="2396"/>
      <c r="L51" s="2207"/>
      <c r="N51" s="91"/>
      <c r="O51" s="2176"/>
      <c r="P51" s="2327"/>
      <c r="S51" s="3750"/>
      <c r="T51" s="3751"/>
      <c r="V51" s="3517"/>
      <c r="W51" s="3752"/>
      <c r="X51" s="3753"/>
      <c r="Y51" s="3754"/>
    </row>
    <row r="52" spans="2:25" ht="14.85" customHeight="1">
      <c r="B52" s="3007"/>
      <c r="C52"/>
      <c r="D52" s="636"/>
      <c r="E52" s="2222"/>
      <c r="F52" s="2224"/>
      <c r="G52" s="2257"/>
      <c r="J52" s="2396"/>
      <c r="L52" s="2207"/>
      <c r="N52" s="91"/>
      <c r="O52" s="2176"/>
      <c r="P52" s="2327"/>
      <c r="S52" s="3750"/>
      <c r="T52" s="3751"/>
      <c r="V52" s="3517"/>
      <c r="W52" s="3752"/>
      <c r="X52" s="3753"/>
      <c r="Y52" s="3754"/>
    </row>
    <row r="53" spans="2:25" ht="14.85" customHeight="1">
      <c r="B53" s="3007"/>
      <c r="C53"/>
      <c r="D53" s="636"/>
      <c r="E53" s="2222"/>
      <c r="F53" s="2224"/>
      <c r="G53" s="2257"/>
      <c r="J53" s="2396"/>
      <c r="L53" s="2207"/>
      <c r="N53" s="91"/>
      <c r="O53" s="2176"/>
      <c r="P53" s="2327"/>
      <c r="S53" s="3750"/>
      <c r="T53" s="3751"/>
      <c r="V53" s="3517"/>
      <c r="W53" s="3752"/>
      <c r="X53" s="3753"/>
      <c r="Y53" s="3754"/>
    </row>
    <row r="54" spans="2:25" ht="14.85" customHeight="1" thickBot="1">
      <c r="B54" s="3711" t="s">
        <v>5975</v>
      </c>
      <c r="C54"/>
      <c r="D54" s="636"/>
      <c r="E54" s="2222"/>
      <c r="H54" s="3756" t="s">
        <v>5986</v>
      </c>
      <c r="I54" s="2257"/>
      <c r="J54" s="2257"/>
      <c r="L54" s="2207"/>
      <c r="N54" s="2327"/>
      <c r="O54" s="2327"/>
      <c r="P54" s="2327"/>
      <c r="S54" s="2328" t="s">
        <v>1747</v>
      </c>
      <c r="T54" s="2346">
        <v>43460</v>
      </c>
      <c r="V54" s="3517" t="s">
        <v>5841</v>
      </c>
      <c r="W54" s="3518">
        <v>3012601</v>
      </c>
      <c r="X54" s="3519" t="s">
        <v>5834</v>
      </c>
      <c r="Y54" s="3520">
        <v>43678</v>
      </c>
    </row>
    <row r="55" spans="2:25" ht="14.85" customHeight="1" thickBot="1">
      <c r="B55" s="2224" t="s">
        <v>5974</v>
      </c>
      <c r="C55"/>
      <c r="D55" s="636"/>
      <c r="E55" s="2222"/>
      <c r="H55" s="2372"/>
      <c r="I55" s="2811" t="s">
        <v>5278</v>
      </c>
      <c r="J55" s="2812" t="s">
        <v>1521</v>
      </c>
      <c r="K55" s="2813" t="s">
        <v>1522</v>
      </c>
      <c r="L55" s="2207">
        <v>250</v>
      </c>
      <c r="M55" s="3276" t="s">
        <v>5621</v>
      </c>
      <c r="N55" s="3275"/>
      <c r="O55" s="2327"/>
      <c r="P55" s="2327"/>
      <c r="S55" s="2328" t="s">
        <v>1748</v>
      </c>
      <c r="T55" s="2346">
        <f>+T54+30</f>
        <v>43490</v>
      </c>
      <c r="V55" s="3521" t="s">
        <v>5589</v>
      </c>
      <c r="W55" s="3522" t="s">
        <v>5858</v>
      </c>
      <c r="X55" s="3523"/>
      <c r="Y55" s="3524"/>
    </row>
    <row r="56" spans="2:25" ht="14.85" customHeight="1" thickBot="1">
      <c r="B56" s="2224" t="s">
        <v>4646</v>
      </c>
      <c r="C56"/>
      <c r="D56" s="636"/>
      <c r="E56" s="2222"/>
      <c r="I56" s="2814" t="s">
        <v>5279</v>
      </c>
      <c r="J56" s="2815">
        <v>87.4</v>
      </c>
      <c r="K56" s="2816">
        <v>133.80000000000001</v>
      </c>
      <c r="L56" s="2207">
        <v>800</v>
      </c>
      <c r="M56" s="3276" t="s">
        <v>1969</v>
      </c>
      <c r="N56" s="3275"/>
      <c r="O56" s="2327"/>
      <c r="P56" s="2327"/>
      <c r="Q56" s="2069"/>
      <c r="S56" s="2328" t="s">
        <v>331</v>
      </c>
      <c r="T56" s="2346">
        <f>30+T55</f>
        <v>43520</v>
      </c>
      <c r="V56" s="3525" t="s">
        <v>5793</v>
      </c>
      <c r="W56" s="3526">
        <v>933092149</v>
      </c>
      <c r="X56" s="3527" t="s">
        <v>5857</v>
      </c>
      <c r="Y56" s="3528"/>
    </row>
    <row r="57" spans="2:25" ht="14.85" customHeight="1" thickBot="1">
      <c r="B57" s="2224" t="s">
        <v>244</v>
      </c>
      <c r="C57"/>
      <c r="D57" s="636"/>
      <c r="E57" s="2222"/>
      <c r="I57" s="3352" t="s">
        <v>5054</v>
      </c>
      <c r="J57" s="3375" t="s">
        <v>205</v>
      </c>
      <c r="K57" s="3263" t="s">
        <v>5814</v>
      </c>
      <c r="L57" s="2207">
        <v>250</v>
      </c>
      <c r="M57" s="3276" t="s">
        <v>5622</v>
      </c>
      <c r="N57" s="3275"/>
      <c r="O57" s="2327"/>
      <c r="P57" s="2327"/>
      <c r="Q57" s="2069"/>
      <c r="S57" s="2328" t="s">
        <v>332</v>
      </c>
      <c r="T57" s="2346">
        <f>30+T56</f>
        <v>43550</v>
      </c>
      <c r="V57" s="3530" t="s">
        <v>5838</v>
      </c>
      <c r="W57" s="3531" t="s">
        <v>5879</v>
      </c>
      <c r="X57" s="3532"/>
      <c r="Y57" s="3533" t="s">
        <v>5839</v>
      </c>
    </row>
    <row r="58" spans="2:25" ht="14.85" customHeight="1" thickBot="1">
      <c r="B58" s="2224" t="s">
        <v>2971</v>
      </c>
      <c r="C58"/>
      <c r="D58" s="636"/>
      <c r="E58" s="2222"/>
      <c r="I58" s="3352" t="s">
        <v>5055</v>
      </c>
      <c r="J58" s="3375" t="s">
        <v>205</v>
      </c>
      <c r="K58" s="3263" t="s">
        <v>5814</v>
      </c>
      <c r="L58" s="2207">
        <v>600</v>
      </c>
      <c r="M58" s="3276" t="s">
        <v>5623</v>
      </c>
      <c r="N58" s="3275"/>
      <c r="O58" s="2327"/>
      <c r="Q58" s="91"/>
      <c r="R58">
        <f>+Q72*8</f>
        <v>520.00239999999997</v>
      </c>
      <c r="S58" s="3470" t="s">
        <v>5604</v>
      </c>
      <c r="T58" s="3471"/>
      <c r="V58" s="3534" t="s">
        <v>5593</v>
      </c>
      <c r="W58" s="3535" t="s">
        <v>5881</v>
      </c>
      <c r="X58" s="3536" t="s">
        <v>5834</v>
      </c>
      <c r="Y58" s="3537">
        <v>43739</v>
      </c>
    </row>
    <row r="59" spans="2:25" ht="14.85" customHeight="1" thickBot="1">
      <c r="B59" s="2224" t="s">
        <v>2159</v>
      </c>
      <c r="C59"/>
      <c r="D59" s="2374"/>
      <c r="E59" s="2373" t="s">
        <v>1629</v>
      </c>
      <c r="F59" s="484" t="s">
        <v>3591</v>
      </c>
      <c r="G59" s="473" t="s">
        <v>1298</v>
      </c>
      <c r="H59" s="484"/>
      <c r="I59" s="3352" t="s">
        <v>5063</v>
      </c>
      <c r="J59" s="3375" t="s">
        <v>205</v>
      </c>
      <c r="K59" s="3263" t="s">
        <v>5814</v>
      </c>
      <c r="L59" s="2207">
        <v>2500</v>
      </c>
      <c r="M59" s="3276" t="s">
        <v>4123</v>
      </c>
      <c r="N59" s="3275"/>
      <c r="O59" s="2327"/>
      <c r="Q59" s="2347">
        <v>43427</v>
      </c>
      <c r="R59">
        <f>+Q73*8</f>
        <v>1880.0043199999998</v>
      </c>
      <c r="S59" s="3472"/>
      <c r="T59" s="3473"/>
      <c r="V59" s="3538" t="s">
        <v>5589</v>
      </c>
      <c r="W59" s="3539" t="s">
        <v>5886</v>
      </c>
      <c r="X59" s="3540"/>
      <c r="Y59" s="3541"/>
    </row>
    <row r="60" spans="2:25" ht="14.85" customHeight="1" thickBot="1">
      <c r="B60" s="2224" t="s">
        <v>2158</v>
      </c>
      <c r="C60"/>
      <c r="D60" s="2374"/>
      <c r="E60" s="8">
        <v>156</v>
      </c>
      <c r="F60" s="2375" t="s">
        <v>1297</v>
      </c>
      <c r="G60" t="s">
        <v>1283</v>
      </c>
      <c r="H60" s="13"/>
      <c r="I60" s="3352" t="s">
        <v>5064</v>
      </c>
      <c r="J60" s="3375" t="s">
        <v>205</v>
      </c>
      <c r="K60" s="3263" t="s">
        <v>5814</v>
      </c>
      <c r="L60" s="2207">
        <v>200</v>
      </c>
      <c r="M60" s="3276" t="s">
        <v>2575</v>
      </c>
      <c r="N60" s="3275"/>
      <c r="O60" s="2327"/>
      <c r="Q60" s="2347">
        <f>30+Q59</f>
        <v>43457</v>
      </c>
      <c r="R60">
        <f>+R59+R58</f>
        <v>2400.0067199999999</v>
      </c>
      <c r="V60" s="3542" t="s">
        <v>5793</v>
      </c>
      <c r="W60" s="3543">
        <v>931784100</v>
      </c>
      <c r="X60" s="3544" t="s">
        <v>5880</v>
      </c>
      <c r="Y60" s="3545"/>
    </row>
    <row r="61" spans="2:25" ht="14.85" customHeight="1" thickBot="1">
      <c r="B61" s="1541"/>
      <c r="C61" s="1541"/>
      <c r="D61" s="2374"/>
      <c r="E61" s="8">
        <v>159</v>
      </c>
      <c r="F61" s="897" t="s">
        <v>1284</v>
      </c>
      <c r="G61" s="13" t="s">
        <v>1283</v>
      </c>
      <c r="H61" s="13"/>
      <c r="I61" s="3352" t="s">
        <v>5133</v>
      </c>
      <c r="J61" s="3375" t="s">
        <v>205</v>
      </c>
      <c r="K61" s="3263" t="s">
        <v>5814</v>
      </c>
      <c r="L61" s="2207">
        <v>3800</v>
      </c>
      <c r="M61" s="3276" t="s">
        <v>3948</v>
      </c>
      <c r="N61" s="3275"/>
      <c r="O61" s="2327"/>
      <c r="Q61" s="2347">
        <f>30+Q60</f>
        <v>43487</v>
      </c>
      <c r="R61">
        <f>+R60/4</f>
        <v>600.00167999999996</v>
      </c>
      <c r="V61" s="3530" t="s">
        <v>5838</v>
      </c>
      <c r="W61" s="3546" t="s">
        <v>5883</v>
      </c>
      <c r="X61" s="3532"/>
      <c r="Y61" s="3533" t="s">
        <v>5839</v>
      </c>
    </row>
    <row r="62" spans="2:25" ht="14.85" customHeight="1" thickBot="1">
      <c r="B62" s="1541"/>
      <c r="C62" s="2532"/>
      <c r="D62" s="2374"/>
      <c r="E62" s="8">
        <v>153</v>
      </c>
      <c r="F62" s="897" t="s">
        <v>1285</v>
      </c>
      <c r="G62" s="13" t="s">
        <v>1283</v>
      </c>
      <c r="H62" s="13"/>
      <c r="I62" s="3352" t="s">
        <v>5396</v>
      </c>
      <c r="J62" s="3375" t="s">
        <v>205</v>
      </c>
      <c r="K62" s="3263" t="s">
        <v>5814</v>
      </c>
      <c r="L62" s="2207">
        <v>600</v>
      </c>
      <c r="M62" s="3276" t="s">
        <v>5624</v>
      </c>
      <c r="N62" s="3275"/>
      <c r="O62" s="2327"/>
      <c r="Q62" s="2347">
        <f>30+Q61</f>
        <v>43517</v>
      </c>
      <c r="S62" s="3773" t="s">
        <v>333</v>
      </c>
      <c r="T62" s="3774"/>
      <c r="V62" s="3534" t="s">
        <v>5593</v>
      </c>
      <c r="W62" s="3535" t="s">
        <v>5882</v>
      </c>
      <c r="X62" s="3536" t="s">
        <v>5834</v>
      </c>
      <c r="Y62" s="3537">
        <v>43739</v>
      </c>
    </row>
    <row r="63" spans="2:25" ht="14.85" customHeight="1" thickBot="1">
      <c r="B63" s="1541"/>
      <c r="C63" s="2532"/>
      <c r="D63" s="2374"/>
      <c r="E63" s="8">
        <v>162</v>
      </c>
      <c r="F63" s="897" t="s">
        <v>1286</v>
      </c>
      <c r="G63" s="13" t="s">
        <v>1283</v>
      </c>
      <c r="H63" s="13"/>
      <c r="I63" s="3352" t="s">
        <v>5574</v>
      </c>
      <c r="J63" s="3375" t="s">
        <v>5813</v>
      </c>
      <c r="K63" s="3263" t="s">
        <v>5814</v>
      </c>
      <c r="L63" s="2207">
        <v>250</v>
      </c>
      <c r="M63" s="3276" t="s">
        <v>5625</v>
      </c>
      <c r="N63" s="3275"/>
      <c r="O63" s="2327"/>
      <c r="Q63" s="2126"/>
      <c r="R63" s="73" t="s">
        <v>5124</v>
      </c>
      <c r="S63" s="2328" t="s">
        <v>1747</v>
      </c>
      <c r="T63" s="2346">
        <v>43522</v>
      </c>
      <c r="V63" s="3538" t="s">
        <v>5589</v>
      </c>
      <c r="W63" s="3539" t="s">
        <v>5885</v>
      </c>
      <c r="X63" s="3540"/>
      <c r="Y63" s="3541"/>
    </row>
    <row r="64" spans="2:25" ht="14.85" customHeight="1" thickBot="1">
      <c r="B64" s="1541"/>
      <c r="C64" s="1541"/>
      <c r="D64" s="2530"/>
      <c r="E64" s="8">
        <v>169</v>
      </c>
      <c r="F64" s="897" t="s">
        <v>1287</v>
      </c>
      <c r="G64" s="13" t="s">
        <v>1283</v>
      </c>
      <c r="H64" s="13"/>
      <c r="I64" s="3352" t="s">
        <v>5812</v>
      </c>
      <c r="J64" s="3375" t="s">
        <v>5813</v>
      </c>
      <c r="K64" s="3263" t="s">
        <v>5814</v>
      </c>
      <c r="L64" s="2207">
        <v>150</v>
      </c>
      <c r="M64" s="3276" t="s">
        <v>5626</v>
      </c>
      <c r="N64" s="3275"/>
      <c r="O64" s="2327"/>
      <c r="Q64" s="2126"/>
      <c r="R64" s="2544" t="s">
        <v>5125</v>
      </c>
      <c r="S64" s="2328" t="s">
        <v>1748</v>
      </c>
      <c r="T64" s="2346">
        <f>+T63+30</f>
        <v>43552</v>
      </c>
      <c r="V64" s="3542" t="s">
        <v>5793</v>
      </c>
      <c r="W64" s="3543">
        <v>910180649</v>
      </c>
      <c r="X64" s="3544" t="s">
        <v>5884</v>
      </c>
      <c r="Y64" s="3545"/>
    </row>
    <row r="65" spans="2:25" ht="14.85" customHeight="1">
      <c r="B65" s="2529"/>
      <c r="C65" s="2529"/>
      <c r="D65" s="2531"/>
      <c r="E65" s="8">
        <v>165</v>
      </c>
      <c r="F65" s="897" t="s">
        <v>1288</v>
      </c>
      <c r="G65" s="13" t="s">
        <v>1283</v>
      </c>
      <c r="H65" s="13"/>
      <c r="I65" s="2257"/>
      <c r="J65" s="2257"/>
      <c r="K65" s="3263"/>
      <c r="L65" s="2207">
        <f>SUM(L55:L64)</f>
        <v>9400</v>
      </c>
      <c r="M65" s="3276"/>
      <c r="N65" s="2327"/>
      <c r="O65" s="2327"/>
      <c r="S65" s="2328" t="s">
        <v>331</v>
      </c>
      <c r="T65" s="2346">
        <f>30+T64</f>
        <v>43582</v>
      </c>
      <c r="U65" s="3529"/>
      <c r="V65" s="3602" t="s">
        <v>5838</v>
      </c>
      <c r="W65" s="3603" t="s">
        <v>5904</v>
      </c>
      <c r="X65" s="3604"/>
      <c r="Y65" s="3605" t="s">
        <v>5839</v>
      </c>
    </row>
    <row r="66" spans="2:25" ht="14.85" customHeight="1">
      <c r="B66" s="1541"/>
      <c r="C66" s="1541"/>
      <c r="D66" s="2374"/>
      <c r="E66" s="8"/>
      <c r="F66" s="2533"/>
      <c r="G66" s="13"/>
      <c r="H66" s="1696"/>
      <c r="I66" s="2257"/>
      <c r="J66" s="2257"/>
      <c r="K66" s="3263"/>
      <c r="L66" s="2207"/>
      <c r="M66" s="3277"/>
      <c r="N66" s="2327"/>
      <c r="O66" s="2327"/>
      <c r="S66" s="2328" t="s">
        <v>332</v>
      </c>
      <c r="T66" s="2346">
        <f>30+T65</f>
        <v>43612</v>
      </c>
      <c r="U66" s="3529"/>
      <c r="V66" s="3606" t="s">
        <v>5593</v>
      </c>
      <c r="W66" s="3607" t="s">
        <v>5906</v>
      </c>
      <c r="X66" s="3608" t="s">
        <v>5834</v>
      </c>
      <c r="Y66" s="3609">
        <v>43770</v>
      </c>
    </row>
    <row r="67" spans="2:25" ht="14.85" customHeight="1" thickBot="1">
      <c r="B67" s="1541">
        <v>165.2542</v>
      </c>
      <c r="C67" s="1541"/>
      <c r="D67" s="2374">
        <f>1400*4</f>
        <v>5600</v>
      </c>
      <c r="E67" s="2528">
        <f>+D67/3</f>
        <v>1866.6666666666667</v>
      </c>
      <c r="F67" s="2533" t="e">
        <f>+E67/D64</f>
        <v>#DIV/0!</v>
      </c>
      <c r="G67" s="2526" t="s">
        <v>5049</v>
      </c>
      <c r="H67" s="2526"/>
      <c r="I67" s="2257"/>
      <c r="J67" s="2257"/>
      <c r="K67" s="2034"/>
      <c r="L67" s="2207"/>
      <c r="N67" s="2327"/>
      <c r="O67" s="2327">
        <f>+O68+O69</f>
        <v>114935.54000000001</v>
      </c>
      <c r="S67" s="3769" t="s">
        <v>5620</v>
      </c>
      <c r="T67" s="3770"/>
      <c r="U67" s="3529"/>
      <c r="V67" s="3610" t="s">
        <v>5589</v>
      </c>
      <c r="W67" s="3611" t="s">
        <v>5905</v>
      </c>
      <c r="X67" s="3612"/>
      <c r="Y67" s="3613"/>
    </row>
    <row r="68" spans="2:25" ht="14.85" customHeight="1" thickBot="1">
      <c r="B68" s="1541">
        <v>57.881399999999999</v>
      </c>
      <c r="C68" s="1541"/>
      <c r="D68" s="1541"/>
      <c r="E68" s="2386"/>
      <c r="F68" s="2442"/>
      <c r="H68" s="1525"/>
      <c r="I68" s="3266"/>
      <c r="J68" s="1903" t="s">
        <v>121</v>
      </c>
      <c r="K68" s="210" t="s">
        <v>2269</v>
      </c>
      <c r="L68" s="1904" t="s">
        <v>759</v>
      </c>
      <c r="M68" s="1931" t="s">
        <v>122</v>
      </c>
      <c r="N68" s="2327">
        <f>+N67-N69</f>
        <v>0</v>
      </c>
      <c r="O68" s="2327">
        <f>+O69*0.18</f>
        <v>17532.54</v>
      </c>
      <c r="R68" s="2396"/>
      <c r="S68" s="3771"/>
      <c r="T68" s="3772"/>
      <c r="U68" s="1866"/>
      <c r="V68" s="3614" t="s">
        <v>5793</v>
      </c>
      <c r="W68" s="3615">
        <v>913041215</v>
      </c>
      <c r="X68" s="3616" t="s">
        <v>5944</v>
      </c>
      <c r="Y68" s="3613"/>
    </row>
    <row r="69" spans="2:25" ht="14.85" customHeight="1" thickBot="1">
      <c r="B69" s="1541">
        <f>+B68+B67</f>
        <v>223.13560000000001</v>
      </c>
      <c r="C69" s="1541"/>
      <c r="D69" s="1541">
        <f>+D64</f>
        <v>0</v>
      </c>
      <c r="E69" s="2443" t="s">
        <v>2481</v>
      </c>
      <c r="F69" s="2450" t="s">
        <v>762</v>
      </c>
      <c r="G69" s="2444" t="s">
        <v>485</v>
      </c>
      <c r="H69" s="1525"/>
      <c r="I69" s="2391"/>
      <c r="J69" s="1947" t="s">
        <v>109</v>
      </c>
      <c r="K69" s="2180" t="s">
        <v>110</v>
      </c>
      <c r="L69" s="2021">
        <v>42812</v>
      </c>
      <c r="M69" s="1933">
        <v>187</v>
      </c>
      <c r="N69" s="2327">
        <f>+N67/1.18</f>
        <v>0</v>
      </c>
      <c r="O69" s="2327">
        <v>97403</v>
      </c>
      <c r="R69" s="2396"/>
      <c r="U69" s="1866"/>
      <c r="V69" s="3675" t="s">
        <v>5838</v>
      </c>
      <c r="W69" s="3676" t="s">
        <v>5941</v>
      </c>
      <c r="X69" s="3677"/>
      <c r="Y69" s="3678" t="s">
        <v>5940</v>
      </c>
    </row>
    <row r="70" spans="2:25" ht="14.85" customHeight="1">
      <c r="B70" s="2529">
        <f>+B69*1.18</f>
        <v>263.30000799999999</v>
      </c>
      <c r="C70" s="2529">
        <f>+B70</f>
        <v>263.30000799999999</v>
      </c>
      <c r="D70" s="2531">
        <f>+C70*D69</f>
        <v>0</v>
      </c>
      <c r="E70" s="2447">
        <v>350</v>
      </c>
      <c r="F70" s="2451">
        <v>42588</v>
      </c>
      <c r="G70" s="2456" t="s">
        <v>2482</v>
      </c>
      <c r="I70" s="2391"/>
      <c r="J70" s="2344" t="s">
        <v>3252</v>
      </c>
      <c r="K70" s="2345" t="s">
        <v>4578</v>
      </c>
      <c r="L70" s="2277"/>
      <c r="M70" s="2278"/>
      <c r="N70" s="2327"/>
      <c r="O70" s="2327"/>
      <c r="R70" s="2396"/>
      <c r="S70" s="3773" t="s">
        <v>333</v>
      </c>
      <c r="T70" s="3774"/>
      <c r="V70" s="3679" t="s">
        <v>5593</v>
      </c>
      <c r="W70" s="3680" t="s">
        <v>5942</v>
      </c>
      <c r="X70" s="3681" t="s">
        <v>5834</v>
      </c>
      <c r="Y70" s="3682">
        <v>43800</v>
      </c>
    </row>
    <row r="71" spans="2:25" ht="14.85" customHeight="1">
      <c r="B71" s="1541"/>
      <c r="C71" s="1541"/>
      <c r="D71" s="1541"/>
      <c r="E71" s="2448">
        <v>400</v>
      </c>
      <c r="F71" s="2452">
        <v>42591</v>
      </c>
      <c r="G71" s="7" t="s">
        <v>2478</v>
      </c>
      <c r="I71" s="2391"/>
      <c r="J71" s="1947" t="s">
        <v>2313</v>
      </c>
      <c r="K71" s="2180" t="s">
        <v>4081</v>
      </c>
      <c r="L71" s="2022">
        <v>42633</v>
      </c>
      <c r="M71" s="1934">
        <v>8</v>
      </c>
      <c r="N71" s="2327">
        <f>+N68+N69</f>
        <v>0</v>
      </c>
      <c r="O71" s="2327">
        <f>+O72+O73</f>
        <v>83989.777777777781</v>
      </c>
      <c r="R71" s="2396"/>
      <c r="S71" s="2328" t="s">
        <v>1747</v>
      </c>
      <c r="T71" s="3408">
        <v>43655</v>
      </c>
      <c r="V71" s="3683" t="s">
        <v>5589</v>
      </c>
      <c r="W71" s="3684" t="s">
        <v>5943</v>
      </c>
      <c r="X71" s="3685"/>
      <c r="Y71" s="3686"/>
    </row>
    <row r="72" spans="2:25" ht="14.85" customHeight="1" thickBot="1">
      <c r="B72" s="1541"/>
      <c r="C72" s="1541"/>
      <c r="E72" s="2448">
        <v>100</v>
      </c>
      <c r="F72" s="2452">
        <v>42597</v>
      </c>
      <c r="G72" s="7" t="s">
        <v>2478</v>
      </c>
      <c r="I72" s="2389"/>
      <c r="J72" s="427"/>
      <c r="K72" s="2390"/>
      <c r="L72" s="2207"/>
      <c r="N72" s="2327"/>
      <c r="O72" s="2327">
        <v>12812</v>
      </c>
      <c r="P72">
        <v>55.085000000000001</v>
      </c>
      <c r="Q72">
        <f>+P72*1.18</f>
        <v>65.000299999999996</v>
      </c>
      <c r="R72" s="2396"/>
      <c r="S72" s="2328" t="s">
        <v>1748</v>
      </c>
      <c r="T72" s="2347">
        <f>30+T71</f>
        <v>43685</v>
      </c>
      <c r="V72" s="3687" t="s">
        <v>5793</v>
      </c>
      <c r="W72" s="3688">
        <v>971337290</v>
      </c>
      <c r="X72" s="3689" t="s">
        <v>5959</v>
      </c>
      <c r="Y72" s="3686"/>
    </row>
    <row r="73" spans="2:25" ht="14.85" customHeight="1" thickBot="1">
      <c r="B73" s="1541">
        <v>4176</v>
      </c>
      <c r="C73" s="2534">
        <v>12000</v>
      </c>
      <c r="E73" s="2448">
        <v>200</v>
      </c>
      <c r="F73" s="2452">
        <v>42614</v>
      </c>
      <c r="G73" s="7" t="s">
        <v>2478</v>
      </c>
      <c r="I73" s="2387"/>
      <c r="K73" s="2388"/>
      <c r="L73" s="2207"/>
      <c r="N73" s="2327"/>
      <c r="O73" s="2327">
        <f>+O72/0.18</f>
        <v>71177.777777777781</v>
      </c>
      <c r="P73">
        <v>199.15299999999999</v>
      </c>
      <c r="Q73">
        <f>+P73*1.18</f>
        <v>235.00053999999997</v>
      </c>
      <c r="R73" s="2396"/>
      <c r="S73" s="2328" t="s">
        <v>331</v>
      </c>
      <c r="T73" s="2347">
        <f>30+T72</f>
        <v>43715</v>
      </c>
      <c r="V73" s="3690" t="s">
        <v>5935</v>
      </c>
      <c r="W73" s="3691" t="s">
        <v>783</v>
      </c>
      <c r="X73" s="3692"/>
      <c r="Y73" s="3693"/>
    </row>
    <row r="74" spans="2:25" ht="14.85" customHeight="1" thickBot="1">
      <c r="B74" s="1541">
        <f>+B73/4</f>
        <v>1044</v>
      </c>
      <c r="C74" s="2535">
        <v>3.23</v>
      </c>
      <c r="D74" s="2374"/>
      <c r="E74" s="2448">
        <v>300</v>
      </c>
      <c r="F74" s="2452">
        <v>42619</v>
      </c>
      <c r="G74" s="7" t="s">
        <v>2478</v>
      </c>
      <c r="I74" s="2480" t="s">
        <v>1974</v>
      </c>
      <c r="J74" s="230"/>
      <c r="K74" s="2475">
        <f>+(3.386+3.375)/2</f>
        <v>3.3805000000000001</v>
      </c>
      <c r="L74" s="2476">
        <v>42642</v>
      </c>
      <c r="M74" s="230"/>
      <c r="N74" s="2464"/>
      <c r="O74" s="2327"/>
      <c r="S74" s="2328" t="s">
        <v>332</v>
      </c>
      <c r="T74" s="2347">
        <f>30+T73</f>
        <v>43745</v>
      </c>
      <c r="U74" s="2929"/>
      <c r="V74" s="3694" t="s">
        <v>5936</v>
      </c>
      <c r="W74" s="3695" t="s">
        <v>5939</v>
      </c>
      <c r="X74" s="3696"/>
      <c r="Y74" s="3697"/>
    </row>
    <row r="75" spans="2:25" ht="14.85" customHeight="1" thickBot="1">
      <c r="B75" s="1541"/>
      <c r="C75" s="2536">
        <f>+C74*C73</f>
        <v>38760</v>
      </c>
      <c r="D75" s="636"/>
      <c r="E75" s="2449">
        <v>473</v>
      </c>
      <c r="F75" s="2452">
        <v>42628</v>
      </c>
      <c r="G75" s="7" t="s">
        <v>2478</v>
      </c>
      <c r="H75" s="1525"/>
      <c r="I75" s="2465"/>
      <c r="J75" s="2462">
        <f>250/(1.18)</f>
        <v>211.86440677966104</v>
      </c>
      <c r="K75" s="2466">
        <f>+$K$74*J75</f>
        <v>716.20762711864415</v>
      </c>
      <c r="L75" s="2467">
        <f>16*K75</f>
        <v>11459.322033898306</v>
      </c>
      <c r="M75" s="75"/>
      <c r="N75" s="2468"/>
      <c r="O75" s="2327"/>
      <c r="S75" s="3769" t="s">
        <v>5846</v>
      </c>
      <c r="T75" s="3770"/>
      <c r="U75" s="2642"/>
      <c r="V75" s="3675" t="s">
        <v>5838</v>
      </c>
      <c r="W75" s="3676" t="s">
        <v>5916</v>
      </c>
      <c r="X75" s="3677"/>
      <c r="Y75" s="3678" t="s">
        <v>5839</v>
      </c>
    </row>
    <row r="76" spans="2:25" ht="14.85" customHeight="1" thickBot="1">
      <c r="B76" s="1541">
        <f>4176-B65*2</f>
        <v>4176</v>
      </c>
      <c r="C76" s="1541"/>
      <c r="D76" s="2537"/>
      <c r="E76" s="2449">
        <v>250</v>
      </c>
      <c r="F76" s="2452">
        <v>42635</v>
      </c>
      <c r="G76" s="2458" t="s">
        <v>670</v>
      </c>
      <c r="H76" s="1525"/>
      <c r="I76" s="2469">
        <f>+J76*16</f>
        <v>4000</v>
      </c>
      <c r="J76" s="2463">
        <f>+J75*1.18</f>
        <v>250</v>
      </c>
      <c r="K76" s="2466">
        <f>+$K$74*J76</f>
        <v>845.125</v>
      </c>
      <c r="L76" s="2467">
        <f>16*K76</f>
        <v>13522</v>
      </c>
      <c r="M76" s="1730">
        <f>+L76-L75</f>
        <v>2062.6779661016935</v>
      </c>
      <c r="N76" s="2468"/>
      <c r="O76" s="2327"/>
      <c r="S76" s="3771"/>
      <c r="T76" s="3772"/>
      <c r="U76" s="2642"/>
      <c r="V76" s="3679" t="s">
        <v>5917</v>
      </c>
      <c r="W76" s="3680">
        <v>43827435</v>
      </c>
      <c r="X76" s="3698" t="s">
        <v>5834</v>
      </c>
      <c r="Y76" s="3682">
        <v>43801</v>
      </c>
    </row>
    <row r="77" spans="2:25" ht="14.85" customHeight="1" thickBot="1">
      <c r="B77" s="1541">
        <f>+B76/4</f>
        <v>1044</v>
      </c>
      <c r="C77" s="1541"/>
      <c r="D77" s="2537"/>
      <c r="E77" s="2607">
        <f>SUM(E70:E76)</f>
        <v>2073</v>
      </c>
      <c r="H77" s="1525"/>
      <c r="I77" s="2470">
        <f>+I76/1.18</f>
        <v>3389.8305084745766</v>
      </c>
      <c r="J77" s="2461"/>
      <c r="K77" s="2466"/>
      <c r="L77" s="2467"/>
      <c r="M77" s="75"/>
      <c r="N77" s="2468"/>
      <c r="O77" s="2327"/>
      <c r="P77">
        <v>7730669</v>
      </c>
      <c r="Q77">
        <v>2013110157</v>
      </c>
      <c r="U77" s="2642"/>
      <c r="V77" s="3683" t="s">
        <v>5589</v>
      </c>
      <c r="W77" s="3684" t="s">
        <v>5918</v>
      </c>
      <c r="X77" s="3685"/>
      <c r="Y77" s="3686"/>
    </row>
    <row r="78" spans="2:25" ht="14.85" customHeight="1">
      <c r="B78" s="1541"/>
      <c r="C78" s="1541"/>
      <c r="D78" s="2537"/>
      <c r="E78" s="2454"/>
      <c r="H78" s="1525"/>
      <c r="I78" s="2465"/>
      <c r="J78" s="2460">
        <v>65.254199999999997</v>
      </c>
      <c r="K78" s="2466">
        <f>+$K$74*J78</f>
        <v>220.5918231</v>
      </c>
      <c r="L78" s="2467">
        <f>16*K78</f>
        <v>3529.4691696</v>
      </c>
      <c r="M78" s="75"/>
      <c r="N78" s="2468">
        <f>+N80/1.18</f>
        <v>16111.804121098305</v>
      </c>
      <c r="O78" s="2327"/>
      <c r="P78">
        <v>7730669</v>
      </c>
      <c r="Q78">
        <v>7730669041</v>
      </c>
      <c r="S78" s="3773" t="s">
        <v>333</v>
      </c>
      <c r="T78" s="3774"/>
      <c r="U78" s="2642"/>
      <c r="V78" s="3687" t="s">
        <v>5793</v>
      </c>
      <c r="W78" s="3688">
        <v>975310306</v>
      </c>
      <c r="X78" s="3689" t="s">
        <v>5957</v>
      </c>
      <c r="Y78" s="3686"/>
    </row>
    <row r="79" spans="2:25" ht="14.85" customHeight="1" thickBot="1">
      <c r="B79" s="1541">
        <v>344</v>
      </c>
      <c r="C79" s="1541">
        <f>+C81*B79</f>
        <v>1182.9864253393666</v>
      </c>
      <c r="D79" s="2537">
        <f>+B79/(1.18)</f>
        <v>291.52542372881356</v>
      </c>
      <c r="E79" s="2445" t="s">
        <v>2479</v>
      </c>
      <c r="G79" s="2455" t="s">
        <v>2480</v>
      </c>
      <c r="H79" s="1525"/>
      <c r="I79" s="2469">
        <f>+J79*16</f>
        <v>1231.999296</v>
      </c>
      <c r="J79" s="2463">
        <f>+J78*1.18</f>
        <v>76.999955999999997</v>
      </c>
      <c r="K79" s="2466">
        <f>+$K$74*J79</f>
        <v>260.29835125799997</v>
      </c>
      <c r="L79" s="2467">
        <f>16*K79</f>
        <v>4164.7736201279995</v>
      </c>
      <c r="M79" s="1730">
        <f>+L79-L78</f>
        <v>635.30445052799951</v>
      </c>
      <c r="N79" s="2468">
        <f>+N80-N78</f>
        <v>2900.1247417976938</v>
      </c>
      <c r="O79" s="2327"/>
      <c r="S79" s="2328" t="s">
        <v>1747</v>
      </c>
      <c r="T79" s="3408">
        <v>43666</v>
      </c>
      <c r="U79" s="2642"/>
      <c r="V79" s="3690" t="s">
        <v>5935</v>
      </c>
      <c r="W79" s="3691" t="s">
        <v>783</v>
      </c>
      <c r="X79" s="3692" t="s">
        <v>5921</v>
      </c>
      <c r="Y79" s="3693" t="s">
        <v>5919</v>
      </c>
    </row>
    <row r="80" spans="2:25" ht="14.85" customHeight="1" thickBot="1">
      <c r="B80" s="1541">
        <v>98</v>
      </c>
      <c r="C80" s="1541">
        <f>+C81*B80</f>
        <v>337.01357466063348</v>
      </c>
      <c r="D80" s="2537">
        <f>+B80/(1.18)</f>
        <v>83.050847457627128</v>
      </c>
      <c r="E80" s="2453">
        <v>2223</v>
      </c>
      <c r="G80" s="2446">
        <f>+E80-E77</f>
        <v>150</v>
      </c>
      <c r="H80" s="1525"/>
      <c r="I80" s="2470">
        <f>+I79/1.18</f>
        <v>1044.0672</v>
      </c>
      <c r="J80" s="2461"/>
      <c r="K80" s="2466"/>
      <c r="L80" s="2467"/>
      <c r="M80" s="75"/>
      <c r="N80" s="2477">
        <f>+L76+L79+L82</f>
        <v>19011.928862895998</v>
      </c>
      <c r="O80" s="2327"/>
      <c r="Q80">
        <v>660</v>
      </c>
      <c r="S80" s="2328" t="s">
        <v>1748</v>
      </c>
      <c r="T80" s="2347">
        <f>30+T79</f>
        <v>43696</v>
      </c>
      <c r="U80" s="2642"/>
      <c r="V80" s="3694" t="s">
        <v>5936</v>
      </c>
      <c r="W80" s="3695" t="s">
        <v>5937</v>
      </c>
      <c r="X80" s="3696" t="s">
        <v>5920</v>
      </c>
      <c r="Y80" s="3697" t="s">
        <v>5915</v>
      </c>
    </row>
    <row r="81" spans="2:26" ht="14.85" customHeight="1">
      <c r="B81" s="2529">
        <f>+B80+B79</f>
        <v>442</v>
      </c>
      <c r="C81" s="1541">
        <f>+D81/B81</f>
        <v>3.4389140271493215</v>
      </c>
      <c r="D81" s="2537">
        <v>1520</v>
      </c>
      <c r="E81" s="2454"/>
      <c r="H81" s="1525"/>
      <c r="I81" s="2465"/>
      <c r="J81" s="2460">
        <v>83.050799999999995</v>
      </c>
      <c r="K81" s="2466">
        <f>+$K$74*J81</f>
        <v>280.75322940000001</v>
      </c>
      <c r="L81" s="2467">
        <f>4*K81</f>
        <v>1123.0129176</v>
      </c>
      <c r="M81" s="75"/>
      <c r="N81" s="1900"/>
      <c r="O81" s="2327"/>
      <c r="Q81">
        <v>3.29</v>
      </c>
      <c r="S81" s="2328" t="s">
        <v>331</v>
      </c>
      <c r="T81" s="2347">
        <f>30+T80</f>
        <v>43726</v>
      </c>
      <c r="V81" s="3679" t="s">
        <v>5838</v>
      </c>
      <c r="W81" s="3699" t="s">
        <v>5922</v>
      </c>
      <c r="X81" s="3700"/>
      <c r="Y81" s="3701" t="s">
        <v>5839</v>
      </c>
    </row>
    <row r="82" spans="2:26" ht="14.85" customHeight="1">
      <c r="D82" s="2537"/>
      <c r="E82" s="8"/>
      <c r="H82" s="152"/>
      <c r="I82" s="2469">
        <f>+J82*4</f>
        <v>391.99977599999994</v>
      </c>
      <c r="J82" s="2463">
        <f>+J81*1.18</f>
        <v>97.999943999999985</v>
      </c>
      <c r="K82" s="2466">
        <f>+$K$74*J82</f>
        <v>331.28881069199997</v>
      </c>
      <c r="L82" s="2467">
        <f>4*K82</f>
        <v>1325.1552427679999</v>
      </c>
      <c r="M82" s="1730">
        <f>+L82-L81</f>
        <v>202.14232516799984</v>
      </c>
      <c r="N82" s="2468"/>
      <c r="O82" s="2327"/>
      <c r="Q82">
        <f>+Q80/Q81</f>
        <v>200.60790273556231</v>
      </c>
      <c r="S82" s="2328" t="s">
        <v>332</v>
      </c>
      <c r="T82" s="2347">
        <f>30+T81</f>
        <v>43756</v>
      </c>
      <c r="U82" s="2396"/>
      <c r="V82" s="3679" t="s">
        <v>5917</v>
      </c>
      <c r="W82" s="3680" t="s">
        <v>5934</v>
      </c>
      <c r="X82" s="3698" t="s">
        <v>5834</v>
      </c>
      <c r="Y82" s="3682">
        <v>43801</v>
      </c>
    </row>
    <row r="83" spans="2:26" ht="14.85" customHeight="1" thickBot="1">
      <c r="B83" s="1541">
        <f>+D81/C83</f>
        <v>464.9739981645763</v>
      </c>
      <c r="C83" s="8">
        <v>3.2690000000000001</v>
      </c>
      <c r="D83" s="2537"/>
      <c r="E83" s="2222"/>
      <c r="G83" s="2"/>
      <c r="I83" s="2470">
        <f>+I82/1.18</f>
        <v>332.20319999999998</v>
      </c>
      <c r="J83" s="2478"/>
      <c r="K83" s="2471"/>
      <c r="L83" s="2467"/>
      <c r="M83" s="75"/>
      <c r="N83" s="2468"/>
      <c r="O83" s="2327"/>
      <c r="R83" s="75"/>
      <c r="S83" s="3769" t="s">
        <v>5849</v>
      </c>
      <c r="T83" s="3770"/>
      <c r="U83" s="3247"/>
      <c r="V83" s="3683" t="s">
        <v>5589</v>
      </c>
      <c r="W83" s="3684" t="s">
        <v>5926</v>
      </c>
      <c r="X83" s="3685"/>
      <c r="Y83" s="3686"/>
    </row>
    <row r="84" spans="2:26" ht="14.85" customHeight="1" thickBot="1">
      <c r="D84" s="2537"/>
      <c r="E84" s="2222"/>
      <c r="G84" s="2"/>
      <c r="I84" s="3489"/>
      <c r="J84" s="2479">
        <f>+I76+I79+I82</f>
        <v>5623.9990719999996</v>
      </c>
      <c r="K84" s="2472">
        <f>+N80/J84</f>
        <v>3.3805000000000001</v>
      </c>
      <c r="L84" s="2473"/>
      <c r="M84" s="1325"/>
      <c r="N84" s="2474"/>
      <c r="O84" s="2327"/>
      <c r="R84" s="75"/>
      <c r="S84" s="3771"/>
      <c r="T84" s="3772"/>
      <c r="U84" s="3247"/>
      <c r="V84" s="3687" t="s">
        <v>5793</v>
      </c>
      <c r="W84" s="3688">
        <v>993656652</v>
      </c>
      <c r="X84" s="3689" t="s">
        <v>5958</v>
      </c>
      <c r="Y84" s="3686"/>
    </row>
    <row r="85" spans="2:26" ht="14.85" customHeight="1" thickBot="1">
      <c r="D85" s="2537"/>
      <c r="E85" s="3493" t="s">
        <v>5900</v>
      </c>
      <c r="F85" s="1459"/>
      <c r="G85" s="1459"/>
      <c r="H85" s="211"/>
      <c r="I85" s="3486"/>
      <c r="J85" s="2459" t="e">
        <f>+I86/1.18</f>
        <v>#VALUE!</v>
      </c>
      <c r="K85" s="2034"/>
      <c r="L85" s="2207"/>
      <c r="R85" s="75"/>
      <c r="S85" s="1228"/>
      <c r="T85" s="3248"/>
      <c r="U85" s="3247"/>
      <c r="V85" s="3690" t="s">
        <v>5935</v>
      </c>
      <c r="W85" s="3691" t="s">
        <v>3638</v>
      </c>
      <c r="X85" s="3692" t="s">
        <v>5925</v>
      </c>
      <c r="Y85" s="3693" t="s">
        <v>5924</v>
      </c>
    </row>
    <row r="86" spans="2:26" ht="14.85" customHeight="1" thickBot="1">
      <c r="D86" s="2537"/>
      <c r="E86" s="3490" t="s">
        <v>2269</v>
      </c>
      <c r="F86" s="3491" t="s">
        <v>5896</v>
      </c>
      <c r="G86" s="3491"/>
      <c r="H86" s="3492" t="s">
        <v>5898</v>
      </c>
      <c r="I86" s="3487" t="s">
        <v>5897</v>
      </c>
      <c r="R86" s="75"/>
      <c r="S86" s="3773" t="s">
        <v>333</v>
      </c>
      <c r="T86" s="3774"/>
      <c r="U86" s="3247"/>
      <c r="V86" s="3694" t="s">
        <v>5936</v>
      </c>
      <c r="W86" s="3695" t="s">
        <v>5937</v>
      </c>
      <c r="X86" s="3696" t="s">
        <v>5920</v>
      </c>
      <c r="Y86" s="3697" t="s">
        <v>5923</v>
      </c>
    </row>
    <row r="87" spans="2:26" ht="14.85" customHeight="1">
      <c r="D87" s="636"/>
      <c r="E87" s="3482" t="s">
        <v>5889</v>
      </c>
      <c r="F87" s="3483" t="s">
        <v>5894</v>
      </c>
      <c r="G87" s="3483"/>
      <c r="H87" s="3484">
        <f>+I87*J91</f>
        <v>470.4</v>
      </c>
      <c r="I87" s="3485">
        <v>140</v>
      </c>
      <c r="N87" s="69">
        <v>43879</v>
      </c>
      <c r="O87" t="s">
        <v>5057</v>
      </c>
      <c r="P87" s="3746">
        <v>-57.6</v>
      </c>
      <c r="Q87" s="2586">
        <f>+P87*-1</f>
        <v>57.6</v>
      </c>
      <c r="S87" s="2328" t="s">
        <v>1747</v>
      </c>
      <c r="T87" s="3408">
        <v>43710</v>
      </c>
      <c r="V87" s="3716" t="s">
        <v>5838</v>
      </c>
      <c r="W87" s="3717" t="s">
        <v>5960</v>
      </c>
      <c r="X87" s="3718"/>
      <c r="Y87" s="3719" t="s">
        <v>5840</v>
      </c>
    </row>
    <row r="88" spans="2:26" ht="14.85" customHeight="1">
      <c r="D88" s="636"/>
      <c r="E88" s="502" t="s">
        <v>5888</v>
      </c>
      <c r="F88" t="s">
        <v>5891</v>
      </c>
      <c r="H88" s="90">
        <f>+I88*J91</f>
        <v>510.71999999999997</v>
      </c>
      <c r="I88" s="3488">
        <v>152</v>
      </c>
      <c r="J88">
        <v>140</v>
      </c>
      <c r="K88">
        <f>+J88*J91</f>
        <v>470.4</v>
      </c>
      <c r="N88" s="69">
        <v>43879</v>
      </c>
      <c r="O88" t="s">
        <v>5442</v>
      </c>
      <c r="P88" s="3746">
        <v>-142.6</v>
      </c>
      <c r="Q88" s="2586">
        <f t="shared" ref="Q88:Q90" si="5">+P88*-1</f>
        <v>142.6</v>
      </c>
      <c r="S88" s="2328" t="s">
        <v>1748</v>
      </c>
      <c r="T88" s="2347">
        <f>30+T87</f>
        <v>43740</v>
      </c>
      <c r="V88" s="3720" t="s">
        <v>5917</v>
      </c>
      <c r="W88" s="3721" t="s">
        <v>5872</v>
      </c>
      <c r="X88" s="3722" t="s">
        <v>5834</v>
      </c>
      <c r="Y88" s="3723">
        <v>43846</v>
      </c>
    </row>
    <row r="89" spans="2:26" ht="14.85" customHeight="1">
      <c r="D89" s="636"/>
      <c r="E89" s="502" t="s">
        <v>5892</v>
      </c>
      <c r="F89" t="s">
        <v>5893</v>
      </c>
      <c r="H89" s="90">
        <v>684</v>
      </c>
      <c r="I89" s="3488">
        <f>+H89/$J$91</f>
        <v>203.57142857142858</v>
      </c>
      <c r="N89" s="69">
        <v>43879</v>
      </c>
      <c r="O89" t="s">
        <v>5443</v>
      </c>
      <c r="P89" s="3746">
        <v>-42.9</v>
      </c>
      <c r="Q89" s="2586">
        <f t="shared" si="5"/>
        <v>42.9</v>
      </c>
      <c r="S89" s="2328" t="s">
        <v>331</v>
      </c>
      <c r="T89" s="2347">
        <f>30+T88</f>
        <v>43770</v>
      </c>
      <c r="U89" s="3247"/>
      <c r="V89" s="3724" t="s">
        <v>5589</v>
      </c>
      <c r="W89" s="3725" t="s">
        <v>5964</v>
      </c>
      <c r="X89" s="3726"/>
      <c r="Y89" s="3727"/>
    </row>
    <row r="90" spans="2:26" ht="14.85" customHeight="1">
      <c r="D90" s="636"/>
      <c r="E90" s="502" t="s">
        <v>5887</v>
      </c>
      <c r="F90" t="s">
        <v>5890</v>
      </c>
      <c r="H90" s="90">
        <v>875</v>
      </c>
      <c r="I90" s="3488">
        <f>+H90/$J$91</f>
        <v>260.41666666666669</v>
      </c>
      <c r="J90" s="2396" t="s">
        <v>5895</v>
      </c>
      <c r="N90" s="69">
        <v>43879</v>
      </c>
      <c r="O90" t="s">
        <v>5853</v>
      </c>
      <c r="P90" s="3746">
        <v>-150.9</v>
      </c>
      <c r="Q90" s="2586">
        <f t="shared" si="5"/>
        <v>150.9</v>
      </c>
      <c r="S90" s="2328" t="s">
        <v>332</v>
      </c>
      <c r="T90" s="2347">
        <f>30+T89</f>
        <v>43800</v>
      </c>
      <c r="U90" s="3247"/>
      <c r="V90" s="3728" t="s">
        <v>5793</v>
      </c>
      <c r="W90" s="3729">
        <v>960699421</v>
      </c>
      <c r="X90" s="3730" t="s">
        <v>5968</v>
      </c>
      <c r="Y90" s="3727"/>
    </row>
    <row r="91" spans="2:26" ht="14.85" customHeight="1">
      <c r="D91" s="636"/>
      <c r="J91">
        <v>3.36</v>
      </c>
      <c r="N91" s="2376"/>
      <c r="O91" s="2377"/>
      <c r="Q91" s="2402">
        <f>-COUNT(Q87:Q90)*2*-1</f>
        <v>8</v>
      </c>
      <c r="S91" s="3769" t="s">
        <v>5855</v>
      </c>
      <c r="T91" s="3770"/>
      <c r="U91" s="3247"/>
      <c r="V91" s="3731" t="s">
        <v>5935</v>
      </c>
      <c r="W91" s="3732" t="s">
        <v>783</v>
      </c>
      <c r="X91" s="3733" t="s">
        <v>5962</v>
      </c>
      <c r="Y91" s="3734" t="s">
        <v>5963</v>
      </c>
      <c r="Z91" s="69">
        <v>42271</v>
      </c>
    </row>
    <row r="92" spans="2:26" ht="14.85" customHeight="1" thickBot="1">
      <c r="D92" s="636"/>
      <c r="E92" s="2890" t="s">
        <v>5903</v>
      </c>
      <c r="H92" s="90"/>
      <c r="N92" s="2903"/>
      <c r="O92" s="2378"/>
      <c r="P92" s="2185"/>
      <c r="Q92" s="3068">
        <f>SUM(Q87:Q91)</f>
        <v>402</v>
      </c>
      <c r="S92" s="3771"/>
      <c r="T92" s="3772"/>
      <c r="U92" s="3247"/>
      <c r="V92" s="3735" t="s">
        <v>5936</v>
      </c>
      <c r="W92" s="3736" t="s">
        <v>5937</v>
      </c>
      <c r="X92" s="3737" t="s">
        <v>5920</v>
      </c>
      <c r="Y92" s="3738" t="s">
        <v>5961</v>
      </c>
    </row>
    <row r="93" spans="2:26" ht="14.85" customHeight="1">
      <c r="D93" s="636"/>
      <c r="E93" s="2873" t="s">
        <v>5899</v>
      </c>
      <c r="H93" s="90"/>
      <c r="S93" s="3407"/>
      <c r="T93" s="3407"/>
      <c r="U93" s="3247"/>
      <c r="V93" s="3716" t="s">
        <v>5838</v>
      </c>
      <c r="W93" s="3717" t="s">
        <v>5965</v>
      </c>
      <c r="X93" s="3718"/>
      <c r="Y93" s="3719" t="s">
        <v>5966</v>
      </c>
    </row>
    <row r="94" spans="2:26" ht="14.85" customHeight="1">
      <c r="D94" s="636"/>
      <c r="E94" s="2873" t="s">
        <v>5902</v>
      </c>
      <c r="H94" s="90"/>
      <c r="S94" s="3773" t="s">
        <v>333</v>
      </c>
      <c r="T94" s="3774"/>
      <c r="U94" s="3247"/>
      <c r="V94" s="3720" t="s">
        <v>5593</v>
      </c>
      <c r="W94" s="3739" t="s">
        <v>5967</v>
      </c>
      <c r="X94" s="3740" t="s">
        <v>5834</v>
      </c>
      <c r="Y94" s="3723">
        <v>43846</v>
      </c>
    </row>
    <row r="95" spans="2:26" ht="14.85" customHeight="1">
      <c r="D95" s="636"/>
      <c r="H95" s="90"/>
      <c r="N95" s="2563">
        <v>43879</v>
      </c>
      <c r="O95" s="2397" t="s">
        <v>5057</v>
      </c>
      <c r="P95" s="2398"/>
      <c r="Q95" s="2399">
        <v>57.6</v>
      </c>
      <c r="S95" s="2328" t="s">
        <v>1747</v>
      </c>
      <c r="T95" s="3408">
        <v>43762</v>
      </c>
      <c r="U95" s="3247"/>
      <c r="V95" s="3724" t="s">
        <v>5589</v>
      </c>
      <c r="W95" s="3725" t="s">
        <v>5973</v>
      </c>
      <c r="X95" s="3741"/>
      <c r="Y95" s="3742"/>
    </row>
    <row r="96" spans="2:26" ht="14.85" customHeight="1">
      <c r="D96" s="636"/>
      <c r="E96" s="3494" t="s">
        <v>5901</v>
      </c>
      <c r="N96" s="2564">
        <v>43879</v>
      </c>
      <c r="O96" s="1199" t="s">
        <v>5442</v>
      </c>
      <c r="P96" s="2401"/>
      <c r="Q96" s="2402">
        <v>142.6</v>
      </c>
      <c r="S96" s="2328" t="s">
        <v>1748</v>
      </c>
      <c r="T96" s="2347">
        <f>30+T95</f>
        <v>43792</v>
      </c>
      <c r="U96" s="3247"/>
      <c r="V96" s="3728" t="s">
        <v>5793</v>
      </c>
      <c r="W96" s="3743">
        <v>927824199</v>
      </c>
      <c r="X96" s="3730" t="s">
        <v>5971</v>
      </c>
      <c r="Y96" s="3742"/>
    </row>
    <row r="97" spans="2:43" ht="14.85" customHeight="1">
      <c r="D97" s="636"/>
      <c r="N97" s="2564">
        <v>43879</v>
      </c>
      <c r="O97" s="1199" t="s">
        <v>5443</v>
      </c>
      <c r="P97" s="2401"/>
      <c r="Q97" s="2402">
        <v>42.9</v>
      </c>
      <c r="S97" s="2328" t="s">
        <v>331</v>
      </c>
      <c r="T97" s="2347">
        <f>30+T96</f>
        <v>43822</v>
      </c>
      <c r="U97" s="3247"/>
      <c r="V97" s="3731" t="s">
        <v>5935</v>
      </c>
      <c r="W97" s="3732" t="s">
        <v>5972</v>
      </c>
      <c r="X97" s="3733" t="s">
        <v>5921</v>
      </c>
      <c r="Y97" s="3744" t="s">
        <v>5970</v>
      </c>
    </row>
    <row r="98" spans="2:43" ht="14.85" customHeight="1" thickBot="1">
      <c r="D98" s="636"/>
      <c r="N98" s="2564">
        <v>43879</v>
      </c>
      <c r="O98" s="1199" t="s">
        <v>5853</v>
      </c>
      <c r="P98" s="2401"/>
      <c r="Q98" s="2402">
        <v>150.9</v>
      </c>
      <c r="S98" s="2328" t="s">
        <v>332</v>
      </c>
      <c r="T98" s="2347">
        <f>30+T97</f>
        <v>43852</v>
      </c>
      <c r="U98" s="3247"/>
      <c r="V98" s="3735" t="s">
        <v>5936</v>
      </c>
      <c r="W98" s="3736" t="s">
        <v>5969</v>
      </c>
      <c r="X98" s="3737" t="s">
        <v>5920</v>
      </c>
      <c r="Y98" s="3745" t="s">
        <v>5970</v>
      </c>
    </row>
    <row r="99" spans="2:43" ht="14.85" customHeight="1">
      <c r="D99" s="636"/>
      <c r="N99" s="2400"/>
      <c r="O99" s="1199"/>
      <c r="P99" s="2401"/>
      <c r="Q99" s="2402">
        <f>COUNT(Q95:Q98)*2</f>
        <v>8</v>
      </c>
      <c r="S99" s="3769" t="s">
        <v>5864</v>
      </c>
      <c r="T99" s="3770"/>
      <c r="U99" s="3247"/>
      <c r="V99" s="3404" t="s">
        <v>5838</v>
      </c>
      <c r="W99" s="3715" t="s">
        <v>5976</v>
      </c>
      <c r="X99" s="3402"/>
      <c r="Y99" s="3405" t="s">
        <v>5839</v>
      </c>
    </row>
    <row r="100" spans="2:43" ht="18">
      <c r="D100" s="636"/>
      <c r="H100" s="2256"/>
      <c r="I100" s="2257">
        <f>5.9*24+1</f>
        <v>142.60000000000002</v>
      </c>
      <c r="J100" s="3279" t="s">
        <v>5627</v>
      </c>
      <c r="K100" s="3280"/>
      <c r="L100" s="502"/>
      <c r="N100" s="2400"/>
      <c r="O100" s="3360" t="s">
        <v>1492</v>
      </c>
      <c r="P100" s="3360"/>
      <c r="Q100" s="2403">
        <f>SUM(Q95:Q99)</f>
        <v>402</v>
      </c>
      <c r="S100" s="3771"/>
      <c r="T100" s="3772"/>
      <c r="U100" s="3247"/>
      <c r="V100" s="3406" t="s">
        <v>5593</v>
      </c>
      <c r="W100" s="3617" t="s">
        <v>5978</v>
      </c>
      <c r="X100" s="2030" t="s">
        <v>5834</v>
      </c>
      <c r="Y100" s="3671">
        <v>43864</v>
      </c>
    </row>
    <row r="101" spans="2:43" ht="14.85" customHeight="1">
      <c r="D101" s="636"/>
      <c r="H101" s="2256"/>
      <c r="I101" s="2257"/>
      <c r="J101" s="3281" t="s">
        <v>5628</v>
      </c>
      <c r="K101" s="3282"/>
      <c r="L101" s="502"/>
      <c r="N101" s="2400" t="s">
        <v>5018</v>
      </c>
      <c r="O101" s="3360"/>
      <c r="P101" s="2401"/>
      <c r="Q101" s="2402"/>
      <c r="S101" s="3407"/>
      <c r="T101" s="3407"/>
      <c r="U101" s="3247"/>
      <c r="V101" s="3403" t="s">
        <v>5589</v>
      </c>
      <c r="W101" s="3457" t="s">
        <v>5977</v>
      </c>
      <c r="X101" s="3247"/>
      <c r="Y101" s="3618"/>
    </row>
    <row r="102" spans="2:43" ht="14.85" customHeight="1">
      <c r="D102" s="636"/>
      <c r="H102" s="2256"/>
      <c r="I102" s="2257"/>
      <c r="J102" s="3279"/>
      <c r="K102" s="3280"/>
      <c r="L102" s="502"/>
      <c r="N102" s="2400"/>
      <c r="O102" s="3360" t="s">
        <v>1612</v>
      </c>
      <c r="P102" s="3360"/>
      <c r="Q102" s="2490">
        <v>400</v>
      </c>
      <c r="S102" s="3407"/>
      <c r="T102" s="3407"/>
      <c r="U102" s="3247"/>
      <c r="V102" s="3587" t="s">
        <v>5793</v>
      </c>
      <c r="W102" s="3619">
        <v>932801911</v>
      </c>
      <c r="X102" s="3674" t="s">
        <v>5979</v>
      </c>
      <c r="Y102" s="3618"/>
    </row>
    <row r="103" spans="2:43" ht="14.85" customHeight="1">
      <c r="H103" s="2034"/>
      <c r="I103" s="2033"/>
      <c r="J103" s="3281"/>
      <c r="K103" s="3282"/>
      <c r="L103" s="502"/>
      <c r="N103" s="2404"/>
      <c r="O103" s="3360"/>
      <c r="P103" s="2401"/>
      <c r="Q103" s="2490"/>
      <c r="S103" s="3407"/>
      <c r="T103" s="3407"/>
      <c r="U103" s="3247"/>
      <c r="V103" s="3599" t="s">
        <v>5935</v>
      </c>
      <c r="W103" s="3597" t="s">
        <v>783</v>
      </c>
      <c r="X103" s="2051" t="s">
        <v>5921</v>
      </c>
      <c r="Y103" s="3672" t="s">
        <v>5970</v>
      </c>
    </row>
    <row r="104" spans="2:43" ht="14.85" customHeight="1" thickBot="1">
      <c r="L104" s="502"/>
      <c r="N104" s="79"/>
      <c r="O104" s="3361" t="s">
        <v>3804</v>
      </c>
      <c r="P104" s="3361"/>
      <c r="Q104" s="2307">
        <f>+Q102+Q103-Q100-Q101</f>
        <v>-2</v>
      </c>
      <c r="S104" s="3407"/>
      <c r="T104" s="3407"/>
      <c r="U104" s="3247"/>
      <c r="V104" s="3600" t="s">
        <v>5936</v>
      </c>
      <c r="W104" s="3598" t="s">
        <v>5969</v>
      </c>
      <c r="X104" s="2056" t="s">
        <v>5920</v>
      </c>
      <c r="Y104" s="3673" t="s">
        <v>5970</v>
      </c>
    </row>
    <row r="105" spans="2:43" ht="14.85" customHeight="1">
      <c r="B105" s="2047" t="s">
        <v>5911</v>
      </c>
      <c r="C105" s="2048" t="s">
        <v>5912</v>
      </c>
      <c r="D105" s="3818" t="s">
        <v>5913</v>
      </c>
      <c r="E105" s="3819"/>
      <c r="G105" s="2047" t="s">
        <v>1653</v>
      </c>
      <c r="H105" s="2048" t="s">
        <v>3827</v>
      </c>
      <c r="I105" s="3816" t="s">
        <v>5914</v>
      </c>
      <c r="J105" s="3817"/>
      <c r="K105" s="2204"/>
      <c r="L105" s="2405" t="s">
        <v>692</v>
      </c>
      <c r="S105" s="131"/>
      <c r="T105" s="131"/>
      <c r="AQ105" s="2068"/>
    </row>
    <row r="106" spans="2:43" ht="15.75">
      <c r="B106"/>
      <c r="C106"/>
      <c r="D106"/>
      <c r="I106" t="s">
        <v>2150</v>
      </c>
      <c r="N106" s="3438">
        <v>43543</v>
      </c>
      <c r="O106" s="3439" t="s">
        <v>5057</v>
      </c>
      <c r="P106" s="3440"/>
      <c r="Q106" s="3441">
        <v>48.1</v>
      </c>
      <c r="S106" s="3773" t="s">
        <v>333</v>
      </c>
      <c r="T106" s="3774"/>
    </row>
    <row r="107" spans="2:43" ht="15.75">
      <c r="I107" t="s">
        <v>1969</v>
      </c>
      <c r="N107" s="3442">
        <v>43543</v>
      </c>
      <c r="O107" s="3443" t="s">
        <v>5442</v>
      </c>
      <c r="P107" s="3444"/>
      <c r="Q107" s="3445">
        <v>138.80000000000001</v>
      </c>
      <c r="S107" s="2328" t="s">
        <v>1747</v>
      </c>
      <c r="T107" s="3408">
        <v>43805</v>
      </c>
    </row>
    <row r="108" spans="2:43" ht="15.75">
      <c r="B108" s="1970" t="s">
        <v>3527</v>
      </c>
      <c r="C108" s="74"/>
      <c r="D108" s="1972"/>
      <c r="E108" s="1972" t="s">
        <v>1640</v>
      </c>
      <c r="F108" s="1971"/>
      <c r="K108" s="464"/>
      <c r="L108" s="2178"/>
      <c r="N108" s="3442">
        <v>43543</v>
      </c>
      <c r="O108" s="3443" t="s">
        <v>5443</v>
      </c>
      <c r="P108" s="3444"/>
      <c r="Q108" s="3446" t="s">
        <v>5811</v>
      </c>
      <c r="S108" s="2328" t="s">
        <v>1748</v>
      </c>
      <c r="T108" s="2347">
        <f>30+T107</f>
        <v>43835</v>
      </c>
    </row>
    <row r="109" spans="2:43" ht="15.75">
      <c r="B109" s="74" t="s">
        <v>3528</v>
      </c>
      <c r="C109" s="74"/>
      <c r="D109" s="1972" t="s">
        <v>3529</v>
      </c>
      <c r="E109" s="1973" t="s">
        <v>1641</v>
      </c>
      <c r="F109" s="1971"/>
      <c r="G109" s="2262" t="s">
        <v>366</v>
      </c>
      <c r="H109" s="2263">
        <v>42107</v>
      </c>
      <c r="M109" s="2405"/>
      <c r="N109" s="3442">
        <v>43543</v>
      </c>
      <c r="O109" s="3443" t="s">
        <v>5444</v>
      </c>
      <c r="P109" s="3444"/>
      <c r="Q109" s="3446" t="s">
        <v>5811</v>
      </c>
      <c r="S109" s="2328" t="s">
        <v>331</v>
      </c>
      <c r="T109" s="2347">
        <f>30+T108</f>
        <v>43865</v>
      </c>
    </row>
    <row r="110" spans="2:43" ht="15.75">
      <c r="B110" s="74"/>
      <c r="C110" s="74"/>
      <c r="D110" s="74"/>
      <c r="E110" s="1971"/>
      <c r="F110" s="1971"/>
      <c r="G110" s="2258" t="s">
        <v>1729</v>
      </c>
      <c r="H110" s="2259"/>
      <c r="I110" s="2259" t="s">
        <v>1728</v>
      </c>
      <c r="J110" s="2259"/>
      <c r="K110" s="2260" t="s">
        <v>1730</v>
      </c>
      <c r="L110" s="2261"/>
      <c r="N110" s="3447"/>
      <c r="O110" s="3448"/>
      <c r="P110" s="3444"/>
      <c r="Q110" s="3445">
        <f>COUNT(Q106:Q109)*2</f>
        <v>4</v>
      </c>
      <c r="S110" s="2328" t="s">
        <v>332</v>
      </c>
      <c r="T110" s="2347">
        <f>30+T109</f>
        <v>43895</v>
      </c>
    </row>
    <row r="111" spans="2:43" ht="18">
      <c r="B111" s="74"/>
      <c r="C111" s="74"/>
      <c r="D111" s="74"/>
      <c r="E111" s="1971"/>
      <c r="F111" s="1971"/>
      <c r="G111" s="2252" t="s">
        <v>1729</v>
      </c>
      <c r="H111" s="2253"/>
      <c r="I111" s="2253" t="s">
        <v>365</v>
      </c>
      <c r="J111" s="2253"/>
      <c r="K111" s="2254" t="s">
        <v>367</v>
      </c>
      <c r="L111" s="2255"/>
      <c r="N111" s="3447"/>
      <c r="O111" s="3448" t="s">
        <v>1492</v>
      </c>
      <c r="P111" s="3448"/>
      <c r="Q111" s="3449">
        <f>SUM(Q106:Q110)</f>
        <v>190.9</v>
      </c>
      <c r="S111" s="3769" t="s">
        <v>5907</v>
      </c>
      <c r="T111" s="3770"/>
    </row>
    <row r="112" spans="2:43" ht="15.75">
      <c r="B112" s="74"/>
      <c r="C112" s="2295" t="s">
        <v>4601</v>
      </c>
      <c r="D112" s="74"/>
      <c r="E112" s="1971"/>
      <c r="F112" s="1971"/>
      <c r="G112" s="2258"/>
      <c r="H112" s="2259"/>
      <c r="I112" s="2259" t="s">
        <v>3777</v>
      </c>
      <c r="J112" s="2259"/>
      <c r="K112" s="2260" t="s">
        <v>4887</v>
      </c>
      <c r="L112" s="2261"/>
      <c r="M112" s="2178"/>
      <c r="N112" s="3447" t="s">
        <v>5018</v>
      </c>
      <c r="O112" s="3448"/>
      <c r="P112" s="3444"/>
      <c r="Q112" s="3445"/>
      <c r="S112" s="3771"/>
      <c r="T112" s="3772"/>
    </row>
    <row r="113" spans="1:39" s="585" customFormat="1" ht="26.25">
      <c r="A113" s="2264"/>
      <c r="B113" s="2265" t="s">
        <v>4553</v>
      </c>
      <c r="C113" s="2305" t="s">
        <v>1607</v>
      </c>
      <c r="D113" s="2299" t="s">
        <v>323</v>
      </c>
      <c r="E113" s="2299" t="s">
        <v>326</v>
      </c>
      <c r="F113" s="2299" t="s">
        <v>324</v>
      </c>
      <c r="G113" s="2302" t="s">
        <v>3145</v>
      </c>
      <c r="H113" s="2292"/>
      <c r="I113" s="2292"/>
      <c r="J113" s="2292"/>
      <c r="K113" s="2293"/>
      <c r="L113" s="2294"/>
      <c r="M113" s="2178"/>
      <c r="N113" s="3447"/>
      <c r="O113" s="3448" t="s">
        <v>1612</v>
      </c>
      <c r="P113" s="3448"/>
      <c r="Q113" s="3450">
        <v>400</v>
      </c>
      <c r="V113"/>
      <c r="W113"/>
      <c r="X113"/>
      <c r="Y113"/>
      <c r="AH113" s="2271"/>
      <c r="AM113" s="2272"/>
    </row>
    <row r="114" spans="1:39" ht="15.75">
      <c r="A114" s="2143" t="s">
        <v>1608</v>
      </c>
      <c r="B114" s="2303">
        <v>210027446</v>
      </c>
      <c r="C114" s="2296" t="s">
        <v>325</v>
      </c>
      <c r="D114" s="2296" t="s">
        <v>4599</v>
      </c>
      <c r="E114" s="2297"/>
      <c r="F114" s="2297" t="s">
        <v>4602</v>
      </c>
      <c r="G114" s="2292" t="s">
        <v>4603</v>
      </c>
      <c r="H114" s="2292"/>
      <c r="I114" s="2292" t="s">
        <v>2551</v>
      </c>
      <c r="J114" s="2292"/>
      <c r="K114" s="2293" t="s">
        <v>322</v>
      </c>
      <c r="L114" s="2294"/>
      <c r="M114" s="2178"/>
      <c r="N114" s="3451"/>
      <c r="O114" s="3448"/>
      <c r="P114" s="3444"/>
      <c r="Q114" s="3450"/>
    </row>
    <row r="115" spans="1:39" ht="15.75">
      <c r="B115" s="2303"/>
      <c r="C115" s="467" t="s">
        <v>4600</v>
      </c>
      <c r="D115" s="467" t="s">
        <v>4598</v>
      </c>
      <c r="E115" s="2298" t="s">
        <v>4597</v>
      </c>
      <c r="F115" s="2298" t="s">
        <v>4554</v>
      </c>
      <c r="G115" s="2292">
        <v>210027446</v>
      </c>
      <c r="H115" s="2292"/>
      <c r="I115" s="2292" t="s">
        <v>1606</v>
      </c>
      <c r="J115" s="2292"/>
      <c r="K115" s="2293"/>
      <c r="L115" s="2294"/>
      <c r="M115" s="2178"/>
      <c r="N115" s="3452"/>
      <c r="O115" s="3453" t="s">
        <v>3804</v>
      </c>
      <c r="P115" s="3453"/>
      <c r="Q115" s="3454">
        <f>+Q113+Q114-Q111-Q112</f>
        <v>209.1</v>
      </c>
      <c r="S115" s="131"/>
      <c r="T115" s="131"/>
    </row>
    <row r="116" spans="1:39" ht="25.5">
      <c r="B116" s="2303"/>
      <c r="C116" s="2304" t="s">
        <v>775</v>
      </c>
      <c r="D116" s="2300"/>
      <c r="E116" s="2306"/>
      <c r="F116" s="2301"/>
      <c r="G116" s="2267"/>
      <c r="H116" s="2267"/>
      <c r="I116" s="2267"/>
      <c r="J116" s="2267"/>
      <c r="K116" s="2268"/>
      <c r="L116" s="2268"/>
      <c r="M116" s="2178"/>
      <c r="N116" s="3455"/>
      <c r="O116" s="3455"/>
      <c r="P116" s="3455"/>
      <c r="Q116" s="3455"/>
    </row>
    <row r="117" spans="1:39" ht="16.5" customHeight="1">
      <c r="B117" s="2303"/>
      <c r="C117" s="467" t="s">
        <v>4600</v>
      </c>
      <c r="D117" s="467" t="s">
        <v>4598</v>
      </c>
      <c r="E117" s="2298" t="s">
        <v>4597</v>
      </c>
      <c r="F117" s="2308" t="s">
        <v>4554</v>
      </c>
      <c r="G117" s="2309" t="s">
        <v>4603</v>
      </c>
      <c r="H117" s="2309"/>
      <c r="I117" s="2309" t="s">
        <v>776</v>
      </c>
      <c r="J117" s="2309"/>
      <c r="K117" s="2310" t="s">
        <v>4583</v>
      </c>
      <c r="L117" s="2268"/>
      <c r="M117" s="2269"/>
      <c r="N117" s="3438">
        <v>43616</v>
      </c>
      <c r="O117" s="3439" t="s">
        <v>5830</v>
      </c>
      <c r="P117" s="3440"/>
      <c r="Q117" s="3441">
        <v>129.9</v>
      </c>
      <c r="S117" s="3773" t="s">
        <v>333</v>
      </c>
      <c r="T117" s="3774"/>
    </row>
    <row r="118" spans="1:39" ht="15.75">
      <c r="B118" s="2303"/>
      <c r="C118" s="2296" t="s">
        <v>325</v>
      </c>
      <c r="D118" s="2296" t="s">
        <v>4599</v>
      </c>
      <c r="E118" s="2298" t="s">
        <v>777</v>
      </c>
      <c r="F118" s="2308" t="s">
        <v>4554</v>
      </c>
      <c r="G118" s="2309" t="s">
        <v>4603</v>
      </c>
      <c r="H118" s="2309"/>
      <c r="I118" s="2309" t="s">
        <v>778</v>
      </c>
      <c r="J118" s="2309"/>
      <c r="K118" s="2310" t="s">
        <v>4583</v>
      </c>
      <c r="L118" s="2268"/>
      <c r="M118" s="2269"/>
      <c r="N118" s="3442">
        <v>43619</v>
      </c>
      <c r="O118" s="3443" t="s">
        <v>5831</v>
      </c>
      <c r="P118" s="3444"/>
      <c r="Q118" s="3445">
        <v>112.5</v>
      </c>
      <c r="S118" s="2328" t="s">
        <v>1747</v>
      </c>
      <c r="T118" s="3408">
        <v>43871</v>
      </c>
    </row>
    <row r="119" spans="1:39" ht="15.75">
      <c r="B119" s="2303"/>
      <c r="C119" s="2300"/>
      <c r="D119" s="2300"/>
      <c r="E119" s="2301"/>
      <c r="F119" s="2301"/>
      <c r="G119" s="2309">
        <v>210992798</v>
      </c>
      <c r="H119" s="2309"/>
      <c r="I119" s="2309" t="s">
        <v>4696</v>
      </c>
      <c r="J119" s="2309"/>
      <c r="K119" s="2311" t="s">
        <v>4887</v>
      </c>
      <c r="L119" s="2268"/>
      <c r="M119" s="2269"/>
      <c r="N119" s="3447" t="s">
        <v>5018</v>
      </c>
      <c r="O119" s="3448"/>
      <c r="P119" s="3444"/>
      <c r="Q119" s="3445">
        <f>COUNT(Q117:Q118)*2</f>
        <v>4</v>
      </c>
      <c r="S119" s="2328" t="s">
        <v>1748</v>
      </c>
      <c r="T119" s="2347">
        <f>30+T118</f>
        <v>43901</v>
      </c>
    </row>
    <row r="120" spans="1:39" ht="18">
      <c r="B120" s="2303"/>
      <c r="C120" s="2300"/>
      <c r="D120" s="2300"/>
      <c r="E120" s="2301"/>
      <c r="F120" s="2301"/>
      <c r="G120" s="2309">
        <v>210992798</v>
      </c>
      <c r="H120" s="2309"/>
      <c r="I120" s="2309" t="s">
        <v>4696</v>
      </c>
      <c r="J120" s="2309"/>
      <c r="K120" s="2311" t="s">
        <v>4887</v>
      </c>
      <c r="L120" s="2268"/>
      <c r="M120" s="2269"/>
      <c r="N120" s="3447" t="s">
        <v>5018</v>
      </c>
      <c r="O120" s="3448" t="s">
        <v>1492</v>
      </c>
      <c r="P120" s="3448"/>
      <c r="Q120" s="3449">
        <f>SUM(Q117:Q119)</f>
        <v>246.4</v>
      </c>
      <c r="S120" s="2328" t="s">
        <v>331</v>
      </c>
      <c r="T120" s="2347">
        <f>30+T119</f>
        <v>43931</v>
      </c>
    </row>
    <row r="121" spans="1:39" ht="15" customHeight="1">
      <c r="B121" s="2303"/>
      <c r="C121" s="2300" t="s">
        <v>325</v>
      </c>
      <c r="D121" s="2300" t="s">
        <v>4599</v>
      </c>
      <c r="E121" s="2301"/>
      <c r="F121" s="2308" t="s">
        <v>4554</v>
      </c>
      <c r="G121" s="2309" t="s">
        <v>1872</v>
      </c>
      <c r="H121" s="2309"/>
      <c r="I121" s="2309" t="s">
        <v>1871</v>
      </c>
      <c r="J121" s="2309"/>
      <c r="K121" s="2310" t="s">
        <v>4583</v>
      </c>
      <c r="L121" s="2268"/>
      <c r="M121" s="2269"/>
      <c r="N121" s="3447" t="s">
        <v>5018</v>
      </c>
      <c r="O121" s="3448" t="s">
        <v>1612</v>
      </c>
      <c r="P121" s="3456">
        <v>43616</v>
      </c>
      <c r="Q121" s="3450">
        <f>140</f>
        <v>140</v>
      </c>
      <c r="S121" s="2328" t="s">
        <v>332</v>
      </c>
      <c r="T121" s="2347">
        <f>30+T120</f>
        <v>43961</v>
      </c>
      <c r="V121" s="1866"/>
    </row>
    <row r="122" spans="1:39" ht="15" customHeight="1">
      <c r="B122" s="2303"/>
      <c r="C122" s="2300"/>
      <c r="D122" s="2300"/>
      <c r="E122" s="2301"/>
      <c r="F122" s="2301"/>
      <c r="G122" s="2309" t="s">
        <v>1872</v>
      </c>
      <c r="H122" s="2309"/>
      <c r="I122" s="2309" t="s">
        <v>4060</v>
      </c>
      <c r="J122" s="2309"/>
      <c r="K122" s="2310"/>
      <c r="L122" s="2268"/>
      <c r="M122" s="2269"/>
      <c r="N122" s="3447"/>
      <c r="O122" s="3448" t="s">
        <v>1612</v>
      </c>
      <c r="P122" s="3456">
        <v>43619</v>
      </c>
      <c r="Q122" s="3450">
        <f>110</f>
        <v>110</v>
      </c>
      <c r="S122" s="2328" t="s">
        <v>5956</v>
      </c>
      <c r="T122" s="2347">
        <f>30+T121</f>
        <v>43991</v>
      </c>
      <c r="V122" s="1866"/>
    </row>
    <row r="123" spans="1:39" ht="15.75">
      <c r="B123" s="2303"/>
      <c r="C123" s="2300"/>
      <c r="D123" s="2300"/>
      <c r="E123" s="2301"/>
      <c r="F123" s="2301"/>
      <c r="G123" s="2267"/>
      <c r="H123" s="2267"/>
      <c r="I123" s="2267"/>
      <c r="J123" s="2267"/>
      <c r="K123" s="2268"/>
      <c r="L123" s="2268"/>
      <c r="M123" s="2269"/>
      <c r="N123" s="3451"/>
      <c r="O123" s="3448"/>
      <c r="P123" s="3444"/>
      <c r="Q123" s="3450"/>
      <c r="S123" s="3769"/>
      <c r="T123" s="3770"/>
      <c r="V123" s="1866"/>
    </row>
    <row r="124" spans="1:39" ht="15.75">
      <c r="B124" s="2303"/>
      <c r="C124" s="2326" t="s">
        <v>2198</v>
      </c>
      <c r="D124" s="2300"/>
      <c r="E124" s="2301"/>
      <c r="F124" s="2301"/>
      <c r="G124" s="2267"/>
      <c r="H124" s="2267"/>
      <c r="I124" s="2267"/>
      <c r="J124" s="2267"/>
      <c r="K124" s="2268"/>
      <c r="L124" s="2268"/>
      <c r="M124" s="2269"/>
      <c r="N124" s="3452"/>
      <c r="O124" s="3453" t="s">
        <v>3804</v>
      </c>
      <c r="P124" s="3453"/>
      <c r="Q124" s="3454">
        <f>+Q120-Q121-Q122</f>
        <v>-3.5999999999999943</v>
      </c>
      <c r="S124" s="3771"/>
      <c r="T124" s="3772"/>
      <c r="V124" s="1866"/>
    </row>
    <row r="125" spans="1:39">
      <c r="B125" s="2303"/>
      <c r="C125" s="2296" t="s">
        <v>325</v>
      </c>
      <c r="D125" s="2296" t="s">
        <v>2199</v>
      </c>
      <c r="E125" s="2298" t="s">
        <v>2200</v>
      </c>
      <c r="F125" s="2308" t="s">
        <v>4554</v>
      </c>
      <c r="G125" s="2309" t="s">
        <v>4603</v>
      </c>
      <c r="H125" s="2309"/>
      <c r="I125" s="2309" t="s">
        <v>1310</v>
      </c>
      <c r="J125" s="2309"/>
      <c r="K125" s="2310" t="s">
        <v>4583</v>
      </c>
      <c r="L125" s="2268"/>
      <c r="M125" s="2542" t="s">
        <v>5298</v>
      </c>
      <c r="N125" s="2542"/>
      <c r="O125" s="2543"/>
      <c r="P125" s="69">
        <v>43061</v>
      </c>
    </row>
    <row r="126" spans="1:39">
      <c r="B126" s="2303"/>
      <c r="C126" s="2300"/>
      <c r="D126" s="2300"/>
      <c r="E126" s="2301"/>
      <c r="F126" s="2301"/>
      <c r="G126" s="2267"/>
      <c r="H126" s="2267"/>
      <c r="I126" s="2267"/>
      <c r="J126" s="2267"/>
      <c r="K126" s="2268"/>
      <c r="L126" s="2268"/>
      <c r="M126" s="2857">
        <v>190</v>
      </c>
      <c r="N126" s="73" t="s">
        <v>2064</v>
      </c>
      <c r="Q126" s="2765"/>
    </row>
    <row r="127" spans="1:39">
      <c r="B127" s="2303"/>
      <c r="C127" s="2300"/>
      <c r="D127" s="2300"/>
      <c r="E127" s="2301"/>
      <c r="F127" s="2301"/>
      <c r="G127" s="2267"/>
      <c r="H127" s="2329" t="s">
        <v>2556</v>
      </c>
      <c r="I127" s="2267"/>
      <c r="J127" s="2267"/>
      <c r="K127" s="2268"/>
      <c r="L127" s="2268"/>
      <c r="M127" s="2857">
        <v>70</v>
      </c>
      <c r="N127" s="73" t="s">
        <v>2063</v>
      </c>
    </row>
    <row r="128" spans="1:39">
      <c r="B128" s="74"/>
      <c r="E128" s="2301" t="s">
        <v>1809</v>
      </c>
      <c r="H128" t="s">
        <v>4354</v>
      </c>
      <c r="L128" s="2268"/>
      <c r="M128" s="2858">
        <f>+M127+M126</f>
        <v>260</v>
      </c>
      <c r="N128" s="2542" t="s">
        <v>5299</v>
      </c>
      <c r="O128" s="131"/>
    </row>
    <row r="129" spans="1:39">
      <c r="B129" s="74"/>
      <c r="C129" s="2300"/>
      <c r="D129" s="2482" t="s">
        <v>4093</v>
      </c>
      <c r="E129" s="485">
        <f>+F132/D129</f>
        <v>3.5154025564911855</v>
      </c>
      <c r="F129" s="2301"/>
      <c r="G129" s="2267"/>
      <c r="H129" s="2329" t="s">
        <v>2557</v>
      </c>
      <c r="I129" s="2267"/>
      <c r="J129" s="2267"/>
      <c r="K129" s="2268"/>
      <c r="L129" s="2268"/>
      <c r="M129" s="2857"/>
      <c r="N129" s="73"/>
      <c r="O129" s="131"/>
    </row>
    <row r="130" spans="1:39">
      <c r="B130" s="74"/>
      <c r="C130" s="2300"/>
      <c r="D130" s="2482">
        <f>+D129-129.98</f>
        <v>3171.42</v>
      </c>
      <c r="E130" s="485">
        <f>+F132/D130</f>
        <v>3.6594806112088589</v>
      </c>
      <c r="F130" s="2301"/>
      <c r="G130" s="2267"/>
      <c r="H130" s="2267" t="s">
        <v>4530</v>
      </c>
      <c r="I130" s="2267"/>
      <c r="J130" s="2267"/>
      <c r="K130" s="2268"/>
      <c r="L130" s="2268"/>
      <c r="M130" s="2542" t="s">
        <v>5297</v>
      </c>
      <c r="N130" s="2542"/>
      <c r="O130" s="131"/>
    </row>
    <row r="131" spans="1:39">
      <c r="B131" s="74"/>
      <c r="C131" s="2300" t="s">
        <v>4085</v>
      </c>
      <c r="D131" s="2300"/>
      <c r="F131" s="2301"/>
      <c r="G131" s="2267"/>
      <c r="H131" s="2329" t="s">
        <v>4022</v>
      </c>
      <c r="I131" s="2267"/>
      <c r="J131" s="2267"/>
      <c r="K131" s="2268"/>
      <c r="L131" s="2268"/>
      <c r="M131" s="2857">
        <v>185</v>
      </c>
      <c r="N131" s="73" t="s">
        <v>2064</v>
      </c>
      <c r="O131" s="131"/>
    </row>
    <row r="132" spans="1:39">
      <c r="B132" s="74"/>
      <c r="C132" s="2481" t="s">
        <v>4086</v>
      </c>
      <c r="D132" s="2300" t="s">
        <v>4087</v>
      </c>
      <c r="E132" s="2301" t="s">
        <v>4088</v>
      </c>
      <c r="F132" s="2301" t="s">
        <v>4092</v>
      </c>
      <c r="G132" s="2267"/>
      <c r="H132" s="2267"/>
      <c r="I132" s="2267"/>
      <c r="J132" s="2267"/>
      <c r="K132" s="2268"/>
      <c r="L132" s="2268"/>
      <c r="M132" s="2857">
        <v>65</v>
      </c>
      <c r="N132" s="73" t="s">
        <v>2063</v>
      </c>
      <c r="O132" s="131"/>
    </row>
    <row r="133" spans="1:39">
      <c r="B133" s="74"/>
      <c r="C133" s="2300" t="s">
        <v>4085</v>
      </c>
      <c r="D133" s="2300"/>
      <c r="E133" s="2301"/>
      <c r="F133" s="2301"/>
      <c r="G133" s="2267"/>
      <c r="H133" s="2267"/>
      <c r="I133" s="2267"/>
      <c r="J133" s="2267"/>
      <c r="K133" s="2268"/>
      <c r="L133" s="2268"/>
      <c r="M133" s="2858">
        <f>+M132+M131</f>
        <v>250</v>
      </c>
      <c r="N133" s="2542" t="s">
        <v>5299</v>
      </c>
      <c r="O133" s="131"/>
    </row>
    <row r="134" spans="1:39">
      <c r="B134" s="74"/>
      <c r="C134" s="2481" t="s">
        <v>4089</v>
      </c>
      <c r="D134" s="2300" t="s">
        <v>4090</v>
      </c>
      <c r="E134" s="2301" t="s">
        <v>4091</v>
      </c>
      <c r="F134" s="2301"/>
      <c r="G134" s="2267"/>
      <c r="H134" s="2267"/>
      <c r="I134" s="2267"/>
      <c r="J134" s="2267"/>
      <c r="K134" s="2268"/>
      <c r="L134" s="2268"/>
      <c r="M134" s="2269"/>
      <c r="N134" s="2269"/>
      <c r="O134" s="2178"/>
    </row>
    <row r="135" spans="1:39">
      <c r="B135" s="74"/>
      <c r="C135" s="2300"/>
      <c r="D135" s="2300"/>
      <c r="E135" s="2301"/>
      <c r="F135" s="2301"/>
      <c r="G135" s="2267"/>
      <c r="H135" s="2267"/>
      <c r="I135" s="2267"/>
      <c r="J135" s="2267"/>
      <c r="K135" s="2568">
        <v>294.27</v>
      </c>
      <c r="L135" s="2569" t="s">
        <v>5086</v>
      </c>
      <c r="M135" s="2570"/>
      <c r="N135" s="2584">
        <v>42936</v>
      </c>
      <c r="O135" s="2571"/>
    </row>
    <row r="136" spans="1:39">
      <c r="B136" s="74"/>
      <c r="C136" s="2300"/>
      <c r="D136" s="2300"/>
      <c r="E136" s="2301"/>
      <c r="F136" s="2301"/>
      <c r="G136" s="2267"/>
      <c r="H136" s="2267"/>
      <c r="I136" s="2267"/>
      <c r="J136" s="2267"/>
      <c r="K136" s="2572">
        <v>250</v>
      </c>
      <c r="L136" s="2567" t="s">
        <v>5087</v>
      </c>
      <c r="M136" s="2573"/>
      <c r="N136" s="2566"/>
      <c r="O136" s="2574"/>
    </row>
    <row r="137" spans="1:39">
      <c r="B137" s="74"/>
      <c r="C137" s="2300"/>
      <c r="D137" s="2300"/>
      <c r="E137" s="2301"/>
      <c r="F137" s="2301"/>
      <c r="G137" s="2267"/>
      <c r="H137" s="2267"/>
      <c r="I137" s="2267"/>
      <c r="J137" s="2267"/>
      <c r="K137" s="2575">
        <f>+K135-K136</f>
        <v>44.269999999999982</v>
      </c>
      <c r="L137" s="2565" t="s">
        <v>5089</v>
      </c>
      <c r="M137" s="2573"/>
      <c r="N137" s="2566"/>
      <c r="O137" s="2574"/>
    </row>
    <row r="138" spans="1:39" s="585" customFormat="1" ht="15.75" thickBot="1">
      <c r="A138" s="2264"/>
      <c r="B138" s="2265"/>
      <c r="C138" s="2265"/>
      <c r="D138" s="2265"/>
      <c r="E138" s="2266"/>
      <c r="F138" s="2266"/>
      <c r="G138" s="2267"/>
      <c r="H138" s="2267"/>
      <c r="I138" s="2267"/>
      <c r="J138" s="2267"/>
      <c r="K138" s="2576">
        <v>266.07</v>
      </c>
      <c r="L138" s="2577" t="s">
        <v>5088</v>
      </c>
      <c r="M138" s="2577"/>
      <c r="N138" s="2578">
        <v>122.51</v>
      </c>
      <c r="O138" s="2579" t="s">
        <v>5090</v>
      </c>
      <c r="P138"/>
      <c r="Q138"/>
      <c r="R138"/>
      <c r="S138" s="2270"/>
      <c r="AH138" s="2271"/>
      <c r="AM138" s="2272"/>
    </row>
    <row r="139" spans="1:39" ht="17.25" thickTop="1">
      <c r="B139" s="74"/>
      <c r="C139" s="74"/>
      <c r="D139" s="74"/>
      <c r="E139" s="1993" t="s">
        <v>34</v>
      </c>
      <c r="F139" s="1971"/>
      <c r="K139" s="2580">
        <f>+K138+K137</f>
        <v>310.33999999999997</v>
      </c>
      <c r="L139" s="2581" t="s">
        <v>1492</v>
      </c>
      <c r="M139" s="2582"/>
      <c r="N139" s="2582"/>
      <c r="O139" s="2583"/>
      <c r="AB139" s="131"/>
      <c r="AC139" s="131"/>
      <c r="AD139" s="131"/>
      <c r="AE139" s="131"/>
      <c r="AF139" s="131"/>
      <c r="AG139" s="131"/>
      <c r="AH139" s="131"/>
      <c r="AI139" s="131"/>
    </row>
    <row r="140" spans="1:39" ht="15.75">
      <c r="B140" s="74"/>
      <c r="C140" s="74"/>
      <c r="D140" s="74"/>
      <c r="E140" s="1971"/>
      <c r="H140" s="1994" t="s">
        <v>35</v>
      </c>
      <c r="L140" s="74" t="s">
        <v>1629</v>
      </c>
      <c r="M140" s="2178"/>
      <c r="N140" s="2178"/>
      <c r="O140" s="2178"/>
      <c r="S140"/>
      <c r="AB140" s="131"/>
      <c r="AC140" s="131"/>
      <c r="AD140" s="131"/>
      <c r="AE140" s="131"/>
      <c r="AF140" s="131"/>
      <c r="AG140" s="131"/>
      <c r="AH140" s="131"/>
      <c r="AI140" s="131"/>
    </row>
    <row r="141" spans="1:39" ht="18">
      <c r="E141" s="2333" t="s">
        <v>3591</v>
      </c>
      <c r="F141" s="2334" t="s">
        <v>1629</v>
      </c>
      <c r="G141" s="2335" t="s">
        <v>1688</v>
      </c>
      <c r="H141" s="1988" t="s">
        <v>3439</v>
      </c>
      <c r="I141" s="1986" t="s">
        <v>1629</v>
      </c>
      <c r="J141" s="1987" t="s">
        <v>3591</v>
      </c>
      <c r="L141" s="1985">
        <v>155</v>
      </c>
      <c r="M141" s="2178"/>
      <c r="N141" s="2178"/>
      <c r="O141" s="2178"/>
      <c r="S141"/>
      <c r="T141" s="73"/>
      <c r="AB141" s="131"/>
      <c r="AC141" s="131"/>
      <c r="AD141" s="131"/>
      <c r="AE141" s="131"/>
      <c r="AF141" s="131"/>
      <c r="AG141" s="131"/>
      <c r="AH141" s="131"/>
      <c r="AI141" s="131"/>
    </row>
    <row r="142" spans="1:39">
      <c r="E142" s="1997" t="s">
        <v>814</v>
      </c>
      <c r="F142" s="1989">
        <v>124</v>
      </c>
      <c r="G142" s="1990">
        <v>11573353</v>
      </c>
      <c r="H142" s="1988" t="s">
        <v>376</v>
      </c>
      <c r="I142" s="1986" t="s">
        <v>697</v>
      </c>
      <c r="J142" s="1995" t="s">
        <v>1115</v>
      </c>
      <c r="M142" s="2269"/>
      <c r="N142" s="2269"/>
      <c r="O142" s="2269"/>
      <c r="P142" s="585"/>
      <c r="Q142" s="585"/>
      <c r="R142" s="585"/>
      <c r="AB142" s="131"/>
      <c r="AC142" s="131"/>
      <c r="AD142" s="131"/>
      <c r="AE142" s="131"/>
      <c r="AF142" s="131"/>
      <c r="AG142" s="131"/>
      <c r="AH142" s="131"/>
      <c r="AI142" s="131"/>
    </row>
    <row r="143" spans="1:39">
      <c r="E143" s="1997" t="s">
        <v>1116</v>
      </c>
      <c r="F143" s="1989" t="s">
        <v>3440</v>
      </c>
      <c r="G143" s="1990" t="s">
        <v>3441</v>
      </c>
      <c r="H143" s="1988" t="s">
        <v>3441</v>
      </c>
      <c r="I143" s="1986" t="s">
        <v>696</v>
      </c>
      <c r="J143" s="1995" t="s">
        <v>814</v>
      </c>
      <c r="M143" s="2178"/>
      <c r="N143" s="2178"/>
      <c r="O143" s="2178"/>
      <c r="AB143" s="131"/>
      <c r="AC143" s="131"/>
      <c r="AD143" s="131"/>
      <c r="AE143" s="131"/>
      <c r="AF143" s="131"/>
      <c r="AG143" s="131"/>
      <c r="AH143" s="131"/>
      <c r="AI143" s="131"/>
    </row>
    <row r="144" spans="1:39">
      <c r="E144" s="1997" t="s">
        <v>1115</v>
      </c>
      <c r="F144" s="1989" t="s">
        <v>697</v>
      </c>
      <c r="G144" s="1990" t="s">
        <v>377</v>
      </c>
      <c r="H144" s="1988" t="s">
        <v>377</v>
      </c>
      <c r="I144" s="1986" t="s">
        <v>3312</v>
      </c>
      <c r="J144" s="1995" t="s">
        <v>130</v>
      </c>
      <c r="M144" s="74" t="s">
        <v>3535</v>
      </c>
      <c r="N144" s="74" t="s">
        <v>3439</v>
      </c>
      <c r="O144" s="74"/>
      <c r="P144" s="74"/>
      <c r="R144" s="73"/>
      <c r="AB144" s="131"/>
      <c r="AC144" s="131"/>
      <c r="AD144" s="131"/>
      <c r="AE144" s="131"/>
      <c r="AF144" s="131"/>
      <c r="AG144" s="131"/>
      <c r="AH144" s="131"/>
      <c r="AI144" s="131"/>
    </row>
    <row r="145" spans="1:42">
      <c r="E145" s="1997" t="s">
        <v>130</v>
      </c>
      <c r="F145" s="1989" t="s">
        <v>3312</v>
      </c>
      <c r="G145" s="1990" t="s">
        <v>3313</v>
      </c>
      <c r="H145" s="1991" t="s">
        <v>3313</v>
      </c>
      <c r="I145" s="1992" t="s">
        <v>5021</v>
      </c>
      <c r="J145" s="1996" t="s">
        <v>902</v>
      </c>
      <c r="M145" s="1984">
        <v>10716830</v>
      </c>
      <c r="N145" s="1982" t="s">
        <v>693</v>
      </c>
      <c r="O145" s="1983" t="s">
        <v>695</v>
      </c>
      <c r="P145" s="74" t="s">
        <v>3796</v>
      </c>
      <c r="Q145" s="74" t="s">
        <v>3591</v>
      </c>
      <c r="AB145" s="131"/>
      <c r="AC145" s="131"/>
      <c r="AD145" s="131"/>
      <c r="AE145" s="131"/>
      <c r="AF145" s="131"/>
      <c r="AG145" s="131"/>
      <c r="AH145" s="131"/>
      <c r="AI145" s="131"/>
    </row>
    <row r="146" spans="1:42">
      <c r="N146" s="1982" t="s">
        <v>694</v>
      </c>
      <c r="O146" s="1983" t="s">
        <v>3440</v>
      </c>
      <c r="Q146" s="1985" t="s">
        <v>129</v>
      </c>
      <c r="AB146" s="131"/>
      <c r="AC146" s="131"/>
      <c r="AD146" s="131"/>
      <c r="AE146" s="131"/>
      <c r="AF146" s="131"/>
      <c r="AG146" s="131"/>
      <c r="AH146" s="131"/>
      <c r="AI146" s="131"/>
      <c r="AK146" s="131"/>
      <c r="AL146" s="131"/>
      <c r="AM146" s="131"/>
      <c r="AN146" s="131"/>
      <c r="AO146" s="131"/>
      <c r="AP146" s="2063"/>
    </row>
    <row r="147" spans="1:42">
      <c r="S147"/>
      <c r="AB147" s="131"/>
      <c r="AC147" s="131"/>
      <c r="AD147" s="131"/>
      <c r="AE147" s="131"/>
      <c r="AF147" s="131"/>
      <c r="AG147" s="131"/>
      <c r="AH147" s="131"/>
      <c r="AI147" s="131"/>
      <c r="AK147" s="131"/>
      <c r="AL147" s="131"/>
      <c r="AM147" s="131"/>
      <c r="AN147" s="131"/>
      <c r="AO147" s="131"/>
      <c r="AP147" s="2063"/>
    </row>
    <row r="148" spans="1:42">
      <c r="K148" s="131"/>
      <c r="L148" s="131"/>
      <c r="S148"/>
      <c r="AB148" s="131"/>
      <c r="AC148" s="131"/>
      <c r="AD148" s="131"/>
      <c r="AE148" s="131"/>
      <c r="AF148" s="131"/>
      <c r="AG148" s="131"/>
      <c r="AH148" s="131"/>
      <c r="AI148" s="131"/>
      <c r="AK148" s="131"/>
      <c r="AL148" s="131"/>
      <c r="AM148" s="131"/>
      <c r="AN148" s="131"/>
      <c r="AO148" s="131"/>
      <c r="AP148" s="2063"/>
    </row>
    <row r="149" spans="1:42" ht="18">
      <c r="C149" s="1858" t="s">
        <v>3894</v>
      </c>
      <c r="D149" s="1858"/>
      <c r="E149" s="1858"/>
      <c r="F149" s="1858"/>
      <c r="G149" s="1858"/>
      <c r="H149" s="1858"/>
      <c r="I149" s="1858"/>
      <c r="K149" s="131"/>
      <c r="L149" t="s">
        <v>2607</v>
      </c>
      <c r="N149" s="131" t="s">
        <v>3562</v>
      </c>
      <c r="S149"/>
      <c r="AB149" s="131"/>
      <c r="AC149" s="131"/>
      <c r="AD149" s="131"/>
      <c r="AE149" s="131"/>
      <c r="AF149" s="131"/>
      <c r="AG149" s="131"/>
      <c r="AH149" s="131"/>
      <c r="AI149" s="131"/>
      <c r="AK149" s="131"/>
      <c r="AL149" s="131"/>
      <c r="AM149" s="131"/>
      <c r="AN149" s="131"/>
      <c r="AO149" s="131"/>
      <c r="AP149" s="2063"/>
    </row>
    <row r="150" spans="1:42" ht="15.2" customHeight="1">
      <c r="C150" s="1863"/>
      <c r="D150" s="1863"/>
      <c r="E150" s="1863"/>
      <c r="F150" s="1863"/>
      <c r="G150" s="1863"/>
      <c r="H150" s="1863"/>
      <c r="I150" s="1863"/>
      <c r="K150" s="131"/>
      <c r="L150" s="131" t="s">
        <v>2686</v>
      </c>
      <c r="N150" s="131" t="s">
        <v>2489</v>
      </c>
      <c r="AB150" s="131"/>
      <c r="AC150" s="131"/>
      <c r="AD150" s="131"/>
      <c r="AE150" s="131"/>
      <c r="AF150" s="131"/>
      <c r="AG150" s="131"/>
      <c r="AH150" s="131"/>
      <c r="AI150" s="131"/>
      <c r="AK150" s="131"/>
      <c r="AL150" s="131"/>
      <c r="AM150" s="131"/>
      <c r="AN150" s="131"/>
      <c r="AO150" s="131"/>
      <c r="AP150" s="2063"/>
    </row>
    <row r="151" spans="1:42" ht="18">
      <c r="C151" s="1858" t="s">
        <v>3538</v>
      </c>
      <c r="D151" s="1858"/>
      <c r="E151" s="1858"/>
      <c r="F151" s="1858"/>
      <c r="G151" s="1858"/>
      <c r="H151" s="1858"/>
      <c r="I151" s="1858"/>
      <c r="K151" s="131"/>
      <c r="L151" s="131" t="s">
        <v>2490</v>
      </c>
      <c r="N151" s="131" t="s">
        <v>2491</v>
      </c>
      <c r="AB151" s="131"/>
      <c r="AC151" s="131"/>
      <c r="AD151" s="131"/>
      <c r="AE151" s="131"/>
      <c r="AF151" s="131"/>
      <c r="AG151" s="131"/>
      <c r="AH151" s="131"/>
      <c r="AI151" s="131"/>
      <c r="AK151" s="131"/>
      <c r="AL151" s="131"/>
      <c r="AM151" s="131"/>
      <c r="AN151" s="131"/>
      <c r="AO151" s="131"/>
      <c r="AP151" s="2063"/>
    </row>
    <row r="152" spans="1:42" ht="18">
      <c r="C152" s="1863"/>
      <c r="D152" s="1863"/>
      <c r="E152" s="1863"/>
      <c r="F152" s="1863"/>
      <c r="G152" s="1863"/>
      <c r="H152" s="1863"/>
      <c r="I152" s="1863"/>
      <c r="K152" s="131"/>
      <c r="L152" s="131" t="s">
        <v>4327</v>
      </c>
      <c r="M152" s="131"/>
      <c r="N152" s="131" t="s">
        <v>2587</v>
      </c>
      <c r="O152" s="131"/>
      <c r="P152" s="131"/>
      <c r="R152" s="73"/>
      <c r="AB152" s="131"/>
      <c r="AC152" s="131"/>
      <c r="AD152" s="131"/>
      <c r="AE152" s="131"/>
      <c r="AF152" s="131"/>
      <c r="AG152" s="131"/>
      <c r="AH152" s="131"/>
      <c r="AI152" s="131"/>
      <c r="AK152" s="131"/>
      <c r="AL152" s="131"/>
      <c r="AM152" s="131"/>
      <c r="AN152" s="131"/>
      <c r="AO152" s="131"/>
      <c r="AP152" s="2063"/>
    </row>
    <row r="153" spans="1:42" ht="15.95" customHeight="1">
      <c r="C153" s="1858" t="s">
        <v>2422</v>
      </c>
      <c r="D153" s="1858"/>
      <c r="E153" s="1858"/>
      <c r="F153" s="1858"/>
      <c r="G153" s="1858"/>
      <c r="H153" s="1858"/>
      <c r="I153" s="1858"/>
      <c r="K153" s="131"/>
      <c r="L153" s="131" t="s">
        <v>3705</v>
      </c>
      <c r="M153" s="131"/>
      <c r="N153" s="131" t="s">
        <v>2596</v>
      </c>
      <c r="O153" s="131"/>
      <c r="P153" s="131"/>
      <c r="R153" s="73"/>
      <c r="AB153" s="131"/>
      <c r="AC153" s="131"/>
      <c r="AD153" s="131"/>
      <c r="AE153" s="131"/>
      <c r="AF153" s="131"/>
      <c r="AG153" s="131"/>
      <c r="AH153" s="131"/>
      <c r="AI153" s="131"/>
      <c r="AK153" s="131"/>
      <c r="AL153" s="131"/>
      <c r="AM153" s="131"/>
      <c r="AN153" s="131"/>
      <c r="AO153" s="131"/>
      <c r="AP153" s="2063"/>
    </row>
    <row r="154" spans="1:42">
      <c r="K154" s="131"/>
      <c r="L154" s="131" t="s">
        <v>2597</v>
      </c>
      <c r="M154" s="131"/>
      <c r="N154" s="131" t="s">
        <v>2598</v>
      </c>
      <c r="O154" s="131"/>
      <c r="P154" s="131"/>
      <c r="AB154" s="131"/>
      <c r="AC154" s="131"/>
      <c r="AD154" s="131"/>
      <c r="AE154" s="131"/>
      <c r="AF154" s="131"/>
      <c r="AG154" s="131"/>
      <c r="AH154" s="131"/>
      <c r="AI154" s="131"/>
      <c r="AK154" s="131"/>
      <c r="AL154" s="131"/>
      <c r="AM154" s="131"/>
      <c r="AN154" s="131"/>
      <c r="AO154" s="131"/>
      <c r="AP154" s="2063"/>
    </row>
    <row r="155" spans="1:42">
      <c r="G155" s="2">
        <v>195.83</v>
      </c>
      <c r="H155">
        <v>100</v>
      </c>
      <c r="K155" s="131"/>
      <c r="L155" t="s">
        <v>1686</v>
      </c>
      <c r="M155" s="131"/>
      <c r="N155" s="131" t="s">
        <v>3948</v>
      </c>
      <c r="O155" s="131"/>
      <c r="P155" s="131"/>
      <c r="AB155" s="131"/>
      <c r="AC155" s="131"/>
      <c r="AD155" s="131"/>
      <c r="AE155" s="131"/>
      <c r="AF155" s="131"/>
      <c r="AG155" s="131"/>
      <c r="AH155" s="131"/>
      <c r="AI155" s="131"/>
      <c r="AK155" s="131"/>
      <c r="AL155" s="131"/>
      <c r="AM155" s="131"/>
      <c r="AN155" s="131"/>
      <c r="AO155" s="131"/>
      <c r="AP155" s="2063"/>
    </row>
    <row r="156" spans="1:42">
      <c r="G156">
        <v>150</v>
      </c>
      <c r="H156">
        <f>+G156*H155/G155</f>
        <v>76.597048460399321</v>
      </c>
      <c r="K156" s="131"/>
      <c r="L156" s="131"/>
      <c r="M156" s="131"/>
      <c r="N156" s="131"/>
      <c r="O156" s="131"/>
      <c r="P156" s="131"/>
      <c r="AB156" s="131"/>
      <c r="AC156" s="131"/>
      <c r="AD156" s="131"/>
      <c r="AE156" s="131"/>
      <c r="AF156" s="131"/>
      <c r="AG156" s="131"/>
      <c r="AH156" s="131"/>
      <c r="AI156" s="131"/>
      <c r="AK156" s="131"/>
      <c r="AL156" s="131"/>
      <c r="AM156" s="131"/>
      <c r="AN156" s="131"/>
      <c r="AO156" s="131"/>
      <c r="AP156" s="2063"/>
    </row>
    <row r="157" spans="1:42" s="131" customFormat="1">
      <c r="A157" s="2143"/>
      <c r="B157" s="8"/>
      <c r="C157" t="s">
        <v>3998</v>
      </c>
      <c r="D157"/>
      <c r="E157"/>
      <c r="F157"/>
      <c r="G157">
        <f>+G155-G156</f>
        <v>45.830000000000013</v>
      </c>
      <c r="H157"/>
      <c r="I157"/>
      <c r="J157"/>
      <c r="K157"/>
      <c r="L157"/>
      <c r="N157"/>
      <c r="Q157"/>
      <c r="R157"/>
      <c r="S157" s="2144"/>
      <c r="T157" s="2142"/>
      <c r="U157" s="880"/>
      <c r="V157" s="2142"/>
      <c r="W157" s="880"/>
      <c r="X157" s="2142"/>
      <c r="Y157" s="986"/>
      <c r="AF157" s="8"/>
      <c r="AG157" s="8"/>
      <c r="AH157" s="8"/>
      <c r="AI157"/>
      <c r="AJ157" s="890"/>
      <c r="AP157" s="2063"/>
    </row>
    <row r="158" spans="1:42" s="131" customFormat="1">
      <c r="A158" s="2143"/>
      <c r="B158" s="8"/>
      <c r="C158" t="s">
        <v>3999</v>
      </c>
      <c r="D158"/>
      <c r="E158"/>
      <c r="F158"/>
      <c r="G158" s="2999">
        <f>+G155*H158/H155*100</f>
        <v>117.49800000000002</v>
      </c>
      <c r="H158" s="3114">
        <v>0.6</v>
      </c>
      <c r="I158"/>
      <c r="J158"/>
      <c r="K158"/>
      <c r="L158"/>
      <c r="N158"/>
      <c r="Q158"/>
      <c r="R158"/>
      <c r="S158" s="2148"/>
      <c r="T158" s="2142"/>
      <c r="U158" s="880"/>
      <c r="V158" s="2142"/>
      <c r="W158" s="880"/>
      <c r="X158" s="2142"/>
      <c r="Y158" s="986"/>
      <c r="AF158" s="8"/>
      <c r="AG158" s="8"/>
      <c r="AH158" s="8"/>
      <c r="AI158"/>
      <c r="AJ158" s="890"/>
      <c r="AP158" s="2063"/>
    </row>
    <row r="159" spans="1:42" s="131" customFormat="1" ht="25.5">
      <c r="A159" s="2143"/>
      <c r="B159" s="8"/>
      <c r="C159" s="451" t="s">
        <v>1860</v>
      </c>
      <c r="D159" s="451" t="s">
        <v>718</v>
      </c>
      <c r="E159"/>
      <c r="F159"/>
      <c r="G159"/>
      <c r="H159"/>
      <c r="I159"/>
      <c r="J159"/>
      <c r="K159"/>
      <c r="L159"/>
      <c r="N159"/>
      <c r="Q159"/>
      <c r="R159"/>
      <c r="S159" s="2148"/>
      <c r="T159" s="2146"/>
      <c r="U159" s="2058"/>
      <c r="V159" s="2142"/>
      <c r="W159" s="986"/>
      <c r="X159" s="2142"/>
      <c r="Y159" s="986"/>
      <c r="AF159" s="8"/>
      <c r="AG159" s="8"/>
      <c r="AH159" s="8"/>
      <c r="AI159"/>
      <c r="AJ159" s="890"/>
      <c r="AP159" s="2063"/>
    </row>
    <row r="160" spans="1:42" s="131" customFormat="1">
      <c r="A160" s="2143"/>
      <c r="B160" s="8"/>
      <c r="C160" s="451" t="s">
        <v>719</v>
      </c>
      <c r="D160" s="131" t="s">
        <v>1003</v>
      </c>
      <c r="E160"/>
      <c r="F160"/>
      <c r="G160"/>
      <c r="H160"/>
      <c r="I160"/>
      <c r="J160"/>
      <c r="K160"/>
      <c r="L160"/>
      <c r="N160"/>
      <c r="Q160"/>
      <c r="R160"/>
      <c r="S160" s="2148"/>
      <c r="T160" s="2142"/>
      <c r="U160" s="880"/>
      <c r="V160" s="2142"/>
      <c r="W160" s="986"/>
      <c r="X160" s="2142"/>
      <c r="Y160" s="986"/>
      <c r="AF160" s="8"/>
      <c r="AG160" s="8"/>
      <c r="AH160" s="8"/>
      <c r="AI160"/>
      <c r="AJ160" s="890"/>
      <c r="AP160" s="2063"/>
    </row>
    <row r="161" spans="1:42" s="131" customFormat="1" ht="25.5">
      <c r="A161" s="2143"/>
      <c r="B161" s="8"/>
      <c r="C161" s="3813" t="s">
        <v>1004</v>
      </c>
      <c r="D161" s="2060" t="s">
        <v>1005</v>
      </c>
      <c r="E161" s="3813" t="s">
        <v>1481</v>
      </c>
      <c r="F161" s="2060" t="s">
        <v>1005</v>
      </c>
      <c r="G161"/>
      <c r="H161"/>
      <c r="I161"/>
      <c r="J161"/>
      <c r="K161"/>
      <c r="L161"/>
      <c r="M161"/>
      <c r="N161"/>
      <c r="O161"/>
      <c r="P161"/>
      <c r="Q161" s="2075"/>
      <c r="R161" s="2145"/>
      <c r="S161" s="2148"/>
      <c r="T161" s="2142"/>
      <c r="U161" s="880"/>
      <c r="V161" s="2142"/>
      <c r="W161" s="986"/>
      <c r="X161" s="2142"/>
      <c r="Y161" s="986"/>
      <c r="AF161" s="8"/>
      <c r="AG161" s="8"/>
      <c r="AH161" s="8"/>
      <c r="AI161"/>
      <c r="AJ161" s="890"/>
      <c r="AP161" s="2063"/>
    </row>
    <row r="162" spans="1:42" s="131" customFormat="1">
      <c r="A162" s="2143"/>
      <c r="B162" s="8"/>
      <c r="C162" s="3814"/>
      <c r="D162" s="2061"/>
      <c r="E162" s="3814"/>
      <c r="F162" s="2061"/>
      <c r="G162"/>
      <c r="H162"/>
      <c r="I162"/>
      <c r="J162"/>
      <c r="K162"/>
      <c r="L162"/>
      <c r="M162"/>
      <c r="N162"/>
      <c r="O162"/>
      <c r="P162"/>
      <c r="Q162" s="2077"/>
      <c r="R162" s="2149"/>
      <c r="S162" s="2148"/>
      <c r="T162" s="2142"/>
      <c r="U162" s="880"/>
      <c r="V162" s="2142"/>
      <c r="W162" s="986"/>
      <c r="X162" s="2142"/>
      <c r="Y162" s="986"/>
      <c r="AF162" s="8"/>
      <c r="AG162" s="8"/>
      <c r="AH162" s="8"/>
      <c r="AI162"/>
      <c r="AJ162" s="890"/>
      <c r="AP162" s="2063"/>
    </row>
    <row r="163" spans="1:42" s="131" customFormat="1" ht="25.5">
      <c r="A163" s="2143"/>
      <c r="B163" s="8"/>
      <c r="C163" s="3814"/>
      <c r="D163" s="2061" t="s">
        <v>2722</v>
      </c>
      <c r="E163" s="3814"/>
      <c r="F163" s="2061" t="s">
        <v>356</v>
      </c>
      <c r="G163"/>
      <c r="H163"/>
      <c r="I163"/>
      <c r="J163"/>
      <c r="K163"/>
      <c r="L163"/>
      <c r="M163"/>
      <c r="N163"/>
      <c r="O163"/>
      <c r="P163"/>
      <c r="Q163" s="2076"/>
      <c r="R163" s="958"/>
      <c r="S163" s="2148"/>
      <c r="T163" s="2142"/>
      <c r="U163" s="880"/>
      <c r="V163" s="986"/>
      <c r="W163" s="986"/>
      <c r="X163" s="2142"/>
      <c r="Y163" s="986"/>
      <c r="AF163" s="8"/>
      <c r="AG163" s="8"/>
      <c r="AH163" s="8"/>
      <c r="AI163"/>
      <c r="AJ163" s="890"/>
      <c r="AP163" s="2063"/>
    </row>
    <row r="164" spans="1:42" s="131" customFormat="1" ht="25.5">
      <c r="A164" s="2143"/>
      <c r="B164" s="8"/>
      <c r="C164" s="3814"/>
      <c r="D164" s="2061" t="s">
        <v>1480</v>
      </c>
      <c r="E164" s="3815"/>
      <c r="F164" s="2062"/>
      <c r="G164"/>
      <c r="H164"/>
      <c r="I164"/>
      <c r="J164"/>
      <c r="K164"/>
      <c r="L164"/>
      <c r="M164"/>
      <c r="N164"/>
      <c r="O164"/>
      <c r="P164"/>
      <c r="Q164" s="2076"/>
      <c r="R164" s="958"/>
      <c r="S164" s="2148"/>
      <c r="T164" s="2142"/>
      <c r="U164" s="880"/>
      <c r="V164" s="986"/>
      <c r="W164" s="986"/>
      <c r="X164" s="2142"/>
      <c r="Y164" s="986"/>
      <c r="AF164" s="8"/>
      <c r="AG164" s="8"/>
      <c r="AH164" s="8"/>
      <c r="AI164"/>
      <c r="AJ164" s="890"/>
      <c r="AP164" s="2063"/>
    </row>
    <row r="165" spans="1:42">
      <c r="C165" s="3815"/>
      <c r="D165" s="2062"/>
      <c r="Q165" s="2076"/>
      <c r="R165" s="958"/>
      <c r="S165" s="2148"/>
      <c r="T165" s="2146"/>
      <c r="U165" s="2058"/>
      <c r="V165" s="986"/>
      <c r="W165" s="986"/>
      <c r="X165" s="2142"/>
      <c r="Y165" s="986"/>
      <c r="AD165" s="8"/>
      <c r="AE165" s="8"/>
      <c r="AF165" s="8"/>
      <c r="AK165" s="131"/>
      <c r="AL165" s="131"/>
      <c r="AN165" s="131"/>
      <c r="AO165" s="131"/>
    </row>
    <row r="166" spans="1:42" ht="15" customHeight="1">
      <c r="E166" s="2524" t="s">
        <v>2511</v>
      </c>
      <c r="F166" s="2524"/>
      <c r="Q166" s="2076"/>
      <c r="R166" s="958"/>
      <c r="S166" s="2148"/>
      <c r="T166" s="2146"/>
      <c r="U166" s="2058"/>
      <c r="V166" s="986"/>
      <c r="W166" s="986"/>
      <c r="X166" s="2142"/>
      <c r="Y166" s="986"/>
    </row>
    <row r="167" spans="1:42">
      <c r="Q167" s="2076"/>
      <c r="R167" s="958"/>
      <c r="S167" s="2148"/>
      <c r="T167" s="2142"/>
      <c r="U167" s="880"/>
      <c r="V167" s="986"/>
      <c r="W167" s="986"/>
      <c r="X167" s="2147"/>
      <c r="Y167" s="1979"/>
    </row>
    <row r="168" spans="1:42">
      <c r="M168" s="90">
        <f>208*1</f>
        <v>208</v>
      </c>
    </row>
    <row r="169" spans="1:42">
      <c r="C169" s="2343" t="s">
        <v>2954</v>
      </c>
      <c r="D169" s="88"/>
      <c r="E169" s="102"/>
      <c r="F169" s="32">
        <v>6</v>
      </c>
      <c r="G169" s="7" t="s">
        <v>4451</v>
      </c>
      <c r="M169">
        <v>3.4</v>
      </c>
    </row>
    <row r="170" spans="1:42">
      <c r="C170" s="2343" t="s">
        <v>2955</v>
      </c>
      <c r="D170" s="88"/>
      <c r="E170" s="102"/>
      <c r="F170" s="32">
        <v>6</v>
      </c>
      <c r="G170" s="7" t="s">
        <v>4451</v>
      </c>
      <c r="M170" s="90">
        <f>+M169*M168</f>
        <v>707.19999999999993</v>
      </c>
    </row>
    <row r="171" spans="1:42">
      <c r="C171" s="2343" t="s">
        <v>2661</v>
      </c>
      <c r="D171" s="88"/>
      <c r="E171" s="102"/>
      <c r="F171" s="32">
        <v>6</v>
      </c>
      <c r="G171" s="7" t="s">
        <v>4451</v>
      </c>
    </row>
    <row r="172" spans="1:42">
      <c r="C172" s="2343" t="s">
        <v>1795</v>
      </c>
      <c r="D172" s="88"/>
      <c r="E172" s="102"/>
      <c r="F172" s="32">
        <v>6</v>
      </c>
      <c r="G172" s="7" t="s">
        <v>4451</v>
      </c>
    </row>
    <row r="173" spans="1:42">
      <c r="C173" s="2343" t="s">
        <v>1796</v>
      </c>
      <c r="D173" s="88"/>
      <c r="E173" s="102"/>
      <c r="F173" s="32">
        <v>6</v>
      </c>
      <c r="G173" s="7" t="s">
        <v>4451</v>
      </c>
    </row>
    <row r="174" spans="1:42">
      <c r="C174" s="2343" t="s">
        <v>4450</v>
      </c>
      <c r="D174" s="88"/>
      <c r="E174" s="102"/>
      <c r="F174" s="32">
        <v>6</v>
      </c>
      <c r="G174" s="7" t="s">
        <v>4451</v>
      </c>
    </row>
    <row r="175" spans="1:42">
      <c r="H175" s="13" t="s">
        <v>5112</v>
      </c>
      <c r="J175" s="635">
        <v>42943</v>
      </c>
      <c r="K175" s="13">
        <v>97.53</v>
      </c>
    </row>
    <row r="176" spans="1:42">
      <c r="G176" s="152">
        <v>42978</v>
      </c>
      <c r="H176">
        <v>6240</v>
      </c>
      <c r="J176" s="152">
        <v>42943</v>
      </c>
      <c r="K176">
        <v>93.73</v>
      </c>
    </row>
    <row r="177" spans="2:17" ht="15.75" thickBot="1">
      <c r="G177" s="152">
        <v>42969</v>
      </c>
      <c r="H177" s="2639">
        <v>780</v>
      </c>
      <c r="J177" s="152">
        <v>42978</v>
      </c>
      <c r="K177">
        <v>53.49</v>
      </c>
    </row>
    <row r="178" spans="2:17" ht="16.5" thickBot="1">
      <c r="B178" s="2492" t="s">
        <v>121</v>
      </c>
      <c r="C178" s="1917" t="s">
        <v>2269</v>
      </c>
      <c r="D178" s="1918" t="s">
        <v>759</v>
      </c>
      <c r="E178" s="2287" t="s">
        <v>122</v>
      </c>
      <c r="G178" s="152">
        <v>42949</v>
      </c>
      <c r="H178" s="2639">
        <v>400</v>
      </c>
      <c r="K178">
        <f>+K177+K176+K175</f>
        <v>244.75</v>
      </c>
      <c r="M178" s="636"/>
      <c r="N178" s="2222"/>
      <c r="Q178" s="2372"/>
    </row>
    <row r="179" spans="2:17" ht="15.75">
      <c r="B179" s="2494" t="s">
        <v>1436</v>
      </c>
      <c r="C179" s="2495" t="s">
        <v>2659</v>
      </c>
      <c r="D179" s="2496">
        <v>42747</v>
      </c>
      <c r="E179" s="2497" t="str">
        <f ca="1">IF(D179&lt;$A$2,"VENCIDO",D179-$A$2)</f>
        <v>VENCIDO</v>
      </c>
      <c r="G179" s="152">
        <v>42919</v>
      </c>
      <c r="H179" s="2639">
        <v>191.26</v>
      </c>
      <c r="K179">
        <v>244.75</v>
      </c>
      <c r="L179">
        <v>5496</v>
      </c>
      <c r="M179" s="636"/>
      <c r="N179" s="2222"/>
    </row>
    <row r="180" spans="2:17" ht="15.75">
      <c r="B180" s="2503" t="s">
        <v>5051</v>
      </c>
      <c r="C180" s="2493" t="s">
        <v>1679</v>
      </c>
      <c r="D180" s="2457">
        <v>42749</v>
      </c>
      <c r="E180" s="2504" t="str">
        <f ca="1">IF(D180&lt;$A$2,"VENCIDO",D180-$A$2)</f>
        <v>VENCIDO</v>
      </c>
      <c r="G180" s="152">
        <v>42912</v>
      </c>
      <c r="H180" s="2639">
        <f>+L180-K179</f>
        <v>2851.25</v>
      </c>
      <c r="I180" s="13" t="s">
        <v>5110</v>
      </c>
      <c r="J180">
        <v>12</v>
      </c>
      <c r="K180" s="13" t="s">
        <v>5111</v>
      </c>
      <c r="L180" s="13">
        <v>3096</v>
      </c>
      <c r="M180" s="636"/>
      <c r="N180" s="2222"/>
    </row>
    <row r="181" spans="2:17" ht="16.5" thickBot="1">
      <c r="B181" s="2505" t="s">
        <v>4905</v>
      </c>
      <c r="C181" s="2506" t="s">
        <v>2659</v>
      </c>
      <c r="D181" s="2507">
        <v>42766</v>
      </c>
      <c r="E181" s="2508" t="str">
        <f ca="1">IF(D181&lt;$A$2,"VENCIDO",D181-$A$2)</f>
        <v>VENCIDO</v>
      </c>
      <c r="G181" s="152">
        <v>42989</v>
      </c>
      <c r="H181" s="2639">
        <v>620</v>
      </c>
      <c r="L181">
        <f>+L179-L180</f>
        <v>2400</v>
      </c>
      <c r="M181" s="636"/>
      <c r="N181" s="2222"/>
    </row>
    <row r="182" spans="2:17">
      <c r="H182">
        <f>SUM(H177:H181)</f>
        <v>4842.51</v>
      </c>
      <c r="I182" s="2640">
        <v>4682.51</v>
      </c>
      <c r="M182" s="2374"/>
      <c r="N182" s="2373" t="s">
        <v>1629</v>
      </c>
      <c r="O182" s="484" t="s">
        <v>3591</v>
      </c>
      <c r="P182" s="473" t="s">
        <v>1298</v>
      </c>
      <c r="Q182" s="484"/>
    </row>
    <row r="183" spans="2:17" ht="15.75" thickBot="1">
      <c r="I183" s="2640"/>
      <c r="M183" s="2374">
        <v>1</v>
      </c>
      <c r="N183" s="8">
        <v>163</v>
      </c>
      <c r="O183" s="2375" t="s">
        <v>4426</v>
      </c>
      <c r="P183" t="s">
        <v>1283</v>
      </c>
      <c r="Q183" s="13"/>
    </row>
    <row r="184" spans="2:17" ht="15.75" thickBot="1">
      <c r="B184" s="1916" t="s">
        <v>121</v>
      </c>
      <c r="C184" s="1917" t="s">
        <v>2269</v>
      </c>
      <c r="D184" s="2498" t="s">
        <v>759</v>
      </c>
      <c r="E184" s="2287" t="s">
        <v>122</v>
      </c>
      <c r="H184">
        <f>+H182/4</f>
        <v>1210.6275000000001</v>
      </c>
      <c r="I184" s="2641">
        <f>+I182/4</f>
        <v>1170.6275000000001</v>
      </c>
      <c r="M184" s="2374">
        <v>2</v>
      </c>
      <c r="N184" s="8">
        <v>152</v>
      </c>
      <c r="O184" s="897" t="s">
        <v>4427</v>
      </c>
      <c r="P184" s="13" t="s">
        <v>1283</v>
      </c>
      <c r="Q184" s="13"/>
    </row>
    <row r="185" spans="2:17" ht="15.75" thickBot="1">
      <c r="B185" s="2499" t="s">
        <v>1368</v>
      </c>
      <c r="C185" s="2502" t="s">
        <v>1369</v>
      </c>
      <c r="D185" s="2500">
        <v>42758</v>
      </c>
      <c r="E185" s="2501" t="str">
        <f ca="1">IF(D185&lt;$A$2,"VENCIDO",D185-$A$2)</f>
        <v>VENCIDO</v>
      </c>
      <c r="M185" s="2374">
        <v>3</v>
      </c>
      <c r="N185" s="8">
        <v>123</v>
      </c>
      <c r="O185" s="897" t="s">
        <v>4428</v>
      </c>
      <c r="P185" s="13" t="s">
        <v>1283</v>
      </c>
      <c r="Q185" s="13"/>
    </row>
    <row r="186" spans="2:17">
      <c r="H186">
        <v>10462.51</v>
      </c>
      <c r="I186">
        <f>+H182-I182</f>
        <v>160</v>
      </c>
      <c r="M186" s="2374">
        <v>4</v>
      </c>
      <c r="N186" s="8">
        <v>114</v>
      </c>
      <c r="O186" s="897" t="s">
        <v>4429</v>
      </c>
      <c r="P186" s="13" t="s">
        <v>1283</v>
      </c>
      <c r="Q186" s="13"/>
    </row>
    <row r="187" spans="2:17">
      <c r="H187">
        <f>+H186-H176</f>
        <v>4222.51</v>
      </c>
      <c r="M187" s="2374">
        <v>5</v>
      </c>
      <c r="N187" s="8">
        <v>111</v>
      </c>
      <c r="O187" s="897" t="s">
        <v>4430</v>
      </c>
      <c r="P187" s="13" t="s">
        <v>1283</v>
      </c>
      <c r="Q187" s="13"/>
    </row>
    <row r="188" spans="2:17">
      <c r="B188" s="1944" t="s">
        <v>121</v>
      </c>
      <c r="C188" s="85" t="s">
        <v>2269</v>
      </c>
      <c r="D188" s="2042" t="s">
        <v>759</v>
      </c>
      <c r="E188" s="159" t="s">
        <v>122</v>
      </c>
      <c r="H188">
        <f>+H187+H181</f>
        <v>4842.51</v>
      </c>
      <c r="I188">
        <f>+H188-K178</f>
        <v>4597.76</v>
      </c>
      <c r="M188" s="2374">
        <v>6</v>
      </c>
      <c r="N188" s="8">
        <v>156</v>
      </c>
      <c r="O188" s="897" t="s">
        <v>4431</v>
      </c>
      <c r="P188" s="13" t="s">
        <v>1283</v>
      </c>
      <c r="Q188" s="13"/>
    </row>
    <row r="189" spans="2:17">
      <c r="B189" s="2635" t="s">
        <v>3509</v>
      </c>
      <c r="C189" s="2637" t="s">
        <v>1817</v>
      </c>
      <c r="D189" s="2638">
        <v>43002</v>
      </c>
      <c r="E189" s="2636" t="str">
        <f ca="1">IF(D189&lt;$A$2,"VENCIDO",D189-$A$2)</f>
        <v>VENCIDO</v>
      </c>
      <c r="H189">
        <f>+H188/4</f>
        <v>1210.6275000000001</v>
      </c>
      <c r="I189">
        <f>+I188/4</f>
        <v>1149.44</v>
      </c>
      <c r="M189" s="2374"/>
      <c r="N189" s="8"/>
      <c r="O189" s="13"/>
      <c r="P189" s="13"/>
      <c r="Q189" s="1696"/>
    </row>
    <row r="191" spans="2:17">
      <c r="B191" s="1944" t="s">
        <v>121</v>
      </c>
      <c r="C191" s="85" t="s">
        <v>2269</v>
      </c>
      <c r="D191" s="2042" t="s">
        <v>759</v>
      </c>
      <c r="E191" s="159" t="s">
        <v>122</v>
      </c>
    </row>
    <row r="192" spans="2:17" ht="18">
      <c r="B192" s="2631" t="s">
        <v>2313</v>
      </c>
      <c r="C192" s="2632" t="s">
        <v>4081</v>
      </c>
      <c r="D192" s="2633">
        <v>42998</v>
      </c>
      <c r="E192" s="2634" t="str">
        <f ca="1">IF(D192&lt;$A$2,"VENCIDO",D192-$A$2)</f>
        <v>VENCIDO</v>
      </c>
      <c r="M192" s="2257"/>
      <c r="N192" s="2257"/>
      <c r="O192" s="2034"/>
      <c r="P192" s="2207"/>
    </row>
    <row r="193" spans="1:39" ht="15.75">
      <c r="B193" s="2635" t="s">
        <v>3509</v>
      </c>
      <c r="C193" s="2637" t="s">
        <v>1817</v>
      </c>
      <c r="D193" s="2638">
        <v>43002</v>
      </c>
      <c r="E193" s="2636" t="str">
        <f ca="1">IF(D193&lt;$A$2,"VENCIDO",D193-$A$2)</f>
        <v>VENCIDO</v>
      </c>
      <c r="M193" s="2257"/>
      <c r="N193" s="2257"/>
      <c r="O193" s="2034"/>
      <c r="P193" s="2207"/>
    </row>
    <row r="194" spans="1:39" s="2624" customFormat="1" ht="15.75">
      <c r="A194" s="2623"/>
      <c r="B194" s="8"/>
      <c r="C194" s="8"/>
      <c r="D194" s="8"/>
      <c r="E194"/>
      <c r="M194" s="2625"/>
      <c r="N194" s="2625"/>
      <c r="O194" s="2626"/>
      <c r="P194" s="2627"/>
      <c r="S194" s="2628"/>
      <c r="AH194" s="2629"/>
      <c r="AM194" s="2630"/>
    </row>
    <row r="195" spans="1:39" s="2624" customFormat="1" ht="15.75">
      <c r="A195" s="2623"/>
      <c r="B195" s="1944" t="s">
        <v>121</v>
      </c>
      <c r="C195" s="85" t="s">
        <v>2269</v>
      </c>
      <c r="D195" s="2042" t="s">
        <v>759</v>
      </c>
      <c r="E195" s="159" t="s">
        <v>122</v>
      </c>
      <c r="M195" s="2625"/>
      <c r="N195" s="2625"/>
      <c r="O195" s="2626"/>
      <c r="P195" s="2627"/>
      <c r="S195" s="2628"/>
      <c r="AH195" s="2629"/>
      <c r="AM195" s="2630"/>
    </row>
    <row r="196" spans="1:39" ht="15.75">
      <c r="B196" s="2724" t="s">
        <v>4034</v>
      </c>
      <c r="C196" s="903" t="s">
        <v>2659</v>
      </c>
      <c r="D196" s="2725">
        <v>43066</v>
      </c>
      <c r="E196" s="2726" t="str">
        <f ca="1">IF(D196&lt;$A$2,"VENCIDO",D196-$A$2)</f>
        <v>VENCIDO</v>
      </c>
      <c r="M196" s="2257"/>
      <c r="N196" s="2373" t="s">
        <v>1629</v>
      </c>
      <c r="O196" s="484" t="s">
        <v>3591</v>
      </c>
      <c r="P196" s="473" t="s">
        <v>1298</v>
      </c>
      <c r="Q196" s="484"/>
    </row>
    <row r="197" spans="1:39">
      <c r="H197" s="2039" t="s">
        <v>2421</v>
      </c>
      <c r="M197" s="2374">
        <v>1</v>
      </c>
      <c r="N197" s="8">
        <v>344</v>
      </c>
      <c r="O197" s="2375" t="s">
        <v>4432</v>
      </c>
      <c r="P197" t="s">
        <v>4433</v>
      </c>
      <c r="Q197" s="13"/>
    </row>
    <row r="198" spans="1:39">
      <c r="B198" s="1944" t="s">
        <v>121</v>
      </c>
      <c r="C198" s="85" t="s">
        <v>2269</v>
      </c>
      <c r="D198" s="2042" t="s">
        <v>759</v>
      </c>
      <c r="E198" s="159" t="s">
        <v>122</v>
      </c>
      <c r="H198" s="2039" t="s">
        <v>305</v>
      </c>
      <c r="M198" s="2374">
        <v>2</v>
      </c>
      <c r="N198" s="8">
        <v>343</v>
      </c>
      <c r="O198" s="897" t="s">
        <v>4434</v>
      </c>
      <c r="P198" t="s">
        <v>4433</v>
      </c>
      <c r="Q198" s="13"/>
    </row>
    <row r="199" spans="1:39">
      <c r="B199" s="2724" t="s">
        <v>1435</v>
      </c>
      <c r="C199" s="903" t="s">
        <v>2659</v>
      </c>
      <c r="D199" s="2725">
        <v>42267</v>
      </c>
      <c r="E199" s="2726" t="str">
        <f ca="1">IF(D199&lt;$A$2,"VENCIDO",D199-$A$2)</f>
        <v>VENCIDO</v>
      </c>
      <c r="H199" s="2039" t="s">
        <v>1589</v>
      </c>
      <c r="M199" s="2374">
        <v>3</v>
      </c>
      <c r="N199" s="8">
        <v>339</v>
      </c>
      <c r="O199" s="897" t="s">
        <v>4435</v>
      </c>
      <c r="P199" t="s">
        <v>4433</v>
      </c>
      <c r="Q199" s="13"/>
    </row>
    <row r="200" spans="1:39">
      <c r="M200" s="2374"/>
      <c r="N200" s="8"/>
      <c r="O200" s="897"/>
      <c r="Q200" s="13"/>
    </row>
    <row r="201" spans="1:39">
      <c r="G201" s="2374"/>
      <c r="H201" s="8"/>
      <c r="I201" s="897"/>
      <c r="K201" s="13"/>
    </row>
    <row r="202" spans="1:39">
      <c r="G202" s="2374"/>
      <c r="H202" s="8"/>
      <c r="I202" s="897"/>
      <c r="J202" s="13"/>
      <c r="K202" s="13"/>
    </row>
    <row r="203" spans="1:39">
      <c r="B203" s="1944" t="s">
        <v>121</v>
      </c>
      <c r="C203" s="85" t="s">
        <v>2269</v>
      </c>
      <c r="D203" s="2042" t="s">
        <v>759</v>
      </c>
      <c r="E203" s="159" t="s">
        <v>122</v>
      </c>
      <c r="G203" s="3329" t="s">
        <v>121</v>
      </c>
      <c r="H203" s="3330" t="s">
        <v>2269</v>
      </c>
      <c r="I203" s="3331" t="s">
        <v>3765</v>
      </c>
      <c r="J203" s="3008" t="s">
        <v>122</v>
      </c>
      <c r="K203" s="1619"/>
      <c r="M203" s="297"/>
    </row>
    <row r="204" spans="1:39">
      <c r="B204" s="2724" t="s">
        <v>1436</v>
      </c>
      <c r="C204" s="903" t="s">
        <v>2659</v>
      </c>
      <c r="D204" s="2725">
        <v>43112</v>
      </c>
      <c r="E204" s="2726" t="str">
        <f ca="1">IF(D204&lt;$A$2,"VENCIDO",D204-$A$2)</f>
        <v>VENCIDO</v>
      </c>
      <c r="F204" s="2"/>
      <c r="G204" s="3332" t="s">
        <v>109</v>
      </c>
      <c r="H204" s="3333" t="s">
        <v>110</v>
      </c>
      <c r="I204" s="3334">
        <v>43542</v>
      </c>
      <c r="J204" s="3335" t="str">
        <f ca="1">IF(I204&lt;$A$2,"VENCIDO",I204-$A$2)</f>
        <v>VENCIDO</v>
      </c>
      <c r="K204" s="472"/>
      <c r="L204" s="472"/>
      <c r="M204" s="472"/>
    </row>
    <row r="205" spans="1:39">
      <c r="B205" s="2724" t="s">
        <v>5051</v>
      </c>
      <c r="C205" s="903" t="s">
        <v>1367</v>
      </c>
      <c r="D205" s="2725">
        <v>43114</v>
      </c>
      <c r="E205" s="2726" t="str">
        <f ca="1">IF(D205&lt;$A$2,"VENCIDO",D205-$A$2)</f>
        <v>VENCIDO</v>
      </c>
      <c r="K205" s="2379"/>
      <c r="L205" s="90"/>
      <c r="M205" s="3810"/>
    </row>
    <row r="206" spans="1:39">
      <c r="B206" s="2724" t="s">
        <v>4905</v>
      </c>
      <c r="C206" s="903" t="s">
        <v>2659</v>
      </c>
      <c r="D206" s="2725">
        <v>43131</v>
      </c>
      <c r="E206" s="2726" t="str">
        <f ca="1">IF(D206&lt;$A$2,"VENCIDO",D206-$A$2)</f>
        <v>VENCIDO</v>
      </c>
      <c r="G206" s="3329" t="s">
        <v>121</v>
      </c>
      <c r="H206" s="3330" t="s">
        <v>2269</v>
      </c>
      <c r="I206" s="3331" t="s">
        <v>3765</v>
      </c>
      <c r="J206" s="3008" t="s">
        <v>122</v>
      </c>
      <c r="K206" s="2379"/>
      <c r="L206" s="90"/>
      <c r="M206" s="3811"/>
    </row>
    <row r="207" spans="1:39">
      <c r="E207" s="8"/>
      <c r="G207" s="3351" t="s">
        <v>5060</v>
      </c>
      <c r="H207" s="3333" t="s">
        <v>5062</v>
      </c>
      <c r="I207" s="3334">
        <v>43575</v>
      </c>
      <c r="J207" s="3335" t="str">
        <f ca="1">IF(I207&lt;$A$2,"VENCIDO",I207-$A$2)</f>
        <v>VENCIDO</v>
      </c>
      <c r="K207" s="2379"/>
      <c r="L207" s="90"/>
      <c r="M207" s="91"/>
    </row>
    <row r="208" spans="1:39">
      <c r="B208" s="1944" t="s">
        <v>121</v>
      </c>
      <c r="C208" s="85" t="s">
        <v>2269</v>
      </c>
      <c r="D208" s="2042" t="s">
        <v>759</v>
      </c>
      <c r="E208" s="159" t="s">
        <v>122</v>
      </c>
      <c r="G208" s="3351" t="s">
        <v>5061</v>
      </c>
      <c r="H208" s="3333" t="s">
        <v>5062</v>
      </c>
      <c r="I208" s="3334">
        <v>43575</v>
      </c>
      <c r="J208" s="3335" t="str">
        <f ca="1">IF(I208&lt;$A$2,"VENCIDO",I208-$A$2)</f>
        <v>VENCIDO</v>
      </c>
      <c r="K208" s="2379"/>
      <c r="L208" s="90"/>
      <c r="M208" s="91"/>
    </row>
    <row r="209" spans="2:13">
      <c r="B209" s="2724" t="s">
        <v>1368</v>
      </c>
      <c r="C209" s="903" t="s">
        <v>1369</v>
      </c>
      <c r="D209" s="2725">
        <v>43123</v>
      </c>
      <c r="E209" s="2726" t="str">
        <f ca="1">IF(D209&lt;$A$2,"VENCIDO",D209-$A$2)</f>
        <v>VENCIDO</v>
      </c>
      <c r="K209" s="2379"/>
      <c r="L209" s="90"/>
      <c r="M209" s="91"/>
    </row>
    <row r="210" spans="2:13">
      <c r="G210" s="3329" t="s">
        <v>121</v>
      </c>
      <c r="H210" s="3330" t="s">
        <v>2269</v>
      </c>
      <c r="I210" s="3331" t="s">
        <v>759</v>
      </c>
      <c r="J210" s="3008" t="s">
        <v>122</v>
      </c>
      <c r="K210" s="2379"/>
      <c r="L210" s="90"/>
      <c r="M210" s="91"/>
    </row>
    <row r="211" spans="2:13">
      <c r="B211" s="3009" t="s">
        <v>121</v>
      </c>
      <c r="C211" s="3010" t="s">
        <v>2269</v>
      </c>
      <c r="D211" s="3011" t="s">
        <v>759</v>
      </c>
      <c r="E211" s="3008" t="s">
        <v>122</v>
      </c>
      <c r="G211" s="3351" t="s">
        <v>5067</v>
      </c>
      <c r="H211" s="3333" t="s">
        <v>5461</v>
      </c>
      <c r="I211" s="3334">
        <v>43608</v>
      </c>
      <c r="J211" s="3335" t="str">
        <f ca="1">IF(I211&lt;$A$2,"VENCIDO",I211-$A$2)</f>
        <v>VENCIDO</v>
      </c>
      <c r="K211" s="2379"/>
      <c r="L211" s="90"/>
      <c r="M211" s="91"/>
    </row>
    <row r="212" spans="2:13">
      <c r="B212" s="3012" t="s">
        <v>5058</v>
      </c>
      <c r="C212" s="3013" t="s">
        <v>3661</v>
      </c>
      <c r="D212" s="3014">
        <v>43136</v>
      </c>
      <c r="E212" s="3015" t="str">
        <f ca="1">IF(D212&lt;$A$2,"VENCIDO",D212-$A$2)</f>
        <v>VENCIDO</v>
      </c>
      <c r="G212" s="3351" t="s">
        <v>4908</v>
      </c>
      <c r="H212" s="3333" t="s">
        <v>5440</v>
      </c>
      <c r="I212" s="3334">
        <v>43598</v>
      </c>
      <c r="J212" s="3335" t="str">
        <f ca="1">IF(I212&lt;$A$2,"VENCIDO",I212-$A$2)</f>
        <v>VENCIDO</v>
      </c>
      <c r="K212" s="2379"/>
      <c r="L212" s="90"/>
      <c r="M212" s="91"/>
    </row>
    <row r="213" spans="2:13">
      <c r="K213" s="2379"/>
      <c r="L213" s="90"/>
      <c r="M213" s="91"/>
    </row>
    <row r="214" spans="2:13">
      <c r="B214" s="1944" t="s">
        <v>121</v>
      </c>
      <c r="C214" s="85" t="s">
        <v>2269</v>
      </c>
      <c r="D214" s="2042" t="s">
        <v>759</v>
      </c>
      <c r="E214" s="159" t="s">
        <v>122</v>
      </c>
      <c r="G214" s="3329" t="s">
        <v>121</v>
      </c>
      <c r="H214" s="3330" t="s">
        <v>2269</v>
      </c>
      <c r="I214" s="3331" t="s">
        <v>759</v>
      </c>
      <c r="J214" s="3008" t="s">
        <v>122</v>
      </c>
      <c r="K214" s="2379"/>
      <c r="L214" s="90"/>
      <c r="M214" s="91"/>
    </row>
    <row r="215" spans="2:13" ht="15.75">
      <c r="B215" s="3012" t="s">
        <v>109</v>
      </c>
      <c r="C215" s="3111" t="s">
        <v>110</v>
      </c>
      <c r="D215" s="3014">
        <v>43177</v>
      </c>
      <c r="E215" s="3112" t="str">
        <f ca="1">IF(D215&lt;$A$2,"VENCIDO",D215-$A$2)</f>
        <v>VENCIDO</v>
      </c>
      <c r="G215" s="3351" t="s">
        <v>3660</v>
      </c>
      <c r="H215" s="3333" t="s">
        <v>3661</v>
      </c>
      <c r="I215" s="3334">
        <v>43681</v>
      </c>
      <c r="J215" s="3335" t="str">
        <f ca="1">IF(I215&lt;$A$2,"VENCIDO",I215-$A$2)</f>
        <v>VENCIDO</v>
      </c>
      <c r="K215" s="2379"/>
      <c r="L215" s="90"/>
      <c r="M215" s="91"/>
    </row>
    <row r="216" spans="2:13">
      <c r="K216" s="2379"/>
      <c r="L216" s="90"/>
      <c r="M216" s="91"/>
    </row>
    <row r="217" spans="2:13">
      <c r="B217" s="1944" t="s">
        <v>121</v>
      </c>
      <c r="C217" s="85" t="s">
        <v>2269</v>
      </c>
      <c r="D217" s="2042" t="s">
        <v>759</v>
      </c>
      <c r="E217" s="159" t="s">
        <v>122</v>
      </c>
      <c r="G217" s="3329" t="s">
        <v>121</v>
      </c>
      <c r="H217" s="3330" t="s">
        <v>2269</v>
      </c>
      <c r="I217" s="3331" t="s">
        <v>759</v>
      </c>
      <c r="J217" s="3008" t="s">
        <v>122</v>
      </c>
      <c r="K217" s="2379"/>
      <c r="L217" s="90"/>
      <c r="M217" s="91"/>
    </row>
    <row r="218" spans="2:13" ht="15.75">
      <c r="B218" s="3012" t="s">
        <v>5060</v>
      </c>
      <c r="C218" s="3111" t="s">
        <v>5062</v>
      </c>
      <c r="D218" s="3014">
        <v>43210</v>
      </c>
      <c r="E218" s="3112" t="str">
        <f ca="1">IF(D218&lt;$A$2,"VENCIDO",D218-$A$2)</f>
        <v>VENCIDO</v>
      </c>
      <c r="G218" s="3351" t="s">
        <v>1446</v>
      </c>
      <c r="H218" s="3333" t="s">
        <v>2659</v>
      </c>
      <c r="I218" s="3334">
        <v>43765</v>
      </c>
      <c r="J218" s="3335">
        <v>26</v>
      </c>
      <c r="K218" s="2379"/>
      <c r="L218" s="90"/>
      <c r="M218" s="91"/>
    </row>
    <row r="219" spans="2:13" ht="15.75">
      <c r="B219" s="3012" t="s">
        <v>5061</v>
      </c>
      <c r="C219" s="3111" t="s">
        <v>5062</v>
      </c>
      <c r="D219" s="3014">
        <v>43210</v>
      </c>
      <c r="E219" s="3112" t="str">
        <f ca="1">IF(D219&lt;$A$2,"VENCIDO",D219-$A$2)</f>
        <v>VENCIDO</v>
      </c>
      <c r="G219" s="3351" t="s">
        <v>1146</v>
      </c>
      <c r="H219" s="3333" t="s">
        <v>2659</v>
      </c>
      <c r="I219" s="3334">
        <v>43760</v>
      </c>
      <c r="J219" s="3335">
        <v>21</v>
      </c>
      <c r="K219" s="2379"/>
      <c r="L219" s="90"/>
      <c r="M219" s="91"/>
    </row>
    <row r="220" spans="2:13">
      <c r="D220" s="2541"/>
      <c r="K220" s="2379"/>
      <c r="L220" s="90"/>
      <c r="M220" s="91"/>
    </row>
    <row r="221" spans="2:13">
      <c r="B221" s="1944" t="s">
        <v>121</v>
      </c>
      <c r="C221" s="85" t="s">
        <v>2269</v>
      </c>
      <c r="D221" s="2042" t="s">
        <v>759</v>
      </c>
      <c r="E221" s="159" t="s">
        <v>122</v>
      </c>
      <c r="G221" s="3329" t="s">
        <v>121</v>
      </c>
      <c r="H221" s="3330" t="s">
        <v>2269</v>
      </c>
      <c r="I221" s="3331" t="s">
        <v>759</v>
      </c>
      <c r="J221" s="3008" t="s">
        <v>122</v>
      </c>
      <c r="K221" s="2379"/>
      <c r="L221" s="90"/>
      <c r="M221" s="91"/>
    </row>
    <row r="222" spans="2:13" ht="15.75">
      <c r="B222" s="3012" t="s">
        <v>1133</v>
      </c>
      <c r="C222" s="3111" t="s">
        <v>2659</v>
      </c>
      <c r="D222" s="3014">
        <v>43263</v>
      </c>
      <c r="E222" s="3112" t="str">
        <f ca="1">IF(D222&lt;$A$2,"VENCIDO",D222-$A$2)</f>
        <v>VENCIDO</v>
      </c>
      <c r="F222" s="492"/>
      <c r="G222" s="3351" t="s">
        <v>4034</v>
      </c>
      <c r="H222" s="3333" t="s">
        <v>2659</v>
      </c>
      <c r="I222" s="3334">
        <v>43796</v>
      </c>
      <c r="J222" s="3335" t="str">
        <f t="shared" ref="J222:J224" ca="1" si="6">IF(I222&lt;$A$2,"VENCIDO",I222-$A$2)</f>
        <v>VENCIDO</v>
      </c>
    </row>
    <row r="223" spans="2:13">
      <c r="D223" s="2540"/>
      <c r="E223" s="2533"/>
      <c r="F223" s="492"/>
      <c r="G223" s="3351" t="s">
        <v>1447</v>
      </c>
      <c r="H223" s="3333" t="s">
        <v>2659</v>
      </c>
      <c r="I223" s="3334">
        <v>43788</v>
      </c>
      <c r="J223" s="3335" t="str">
        <f t="shared" ca="1" si="6"/>
        <v>VENCIDO</v>
      </c>
    </row>
    <row r="224" spans="2:13">
      <c r="B224" s="1944" t="s">
        <v>121</v>
      </c>
      <c r="C224" s="85" t="s">
        <v>2269</v>
      </c>
      <c r="D224" s="2042" t="s">
        <v>759</v>
      </c>
      <c r="E224" s="159" t="s">
        <v>122</v>
      </c>
      <c r="G224" s="3351" t="s">
        <v>1435</v>
      </c>
      <c r="H224" s="3333" t="s">
        <v>2659</v>
      </c>
      <c r="I224" s="3334">
        <v>43786</v>
      </c>
      <c r="J224" s="3335" t="str">
        <f t="shared" ca="1" si="6"/>
        <v>VENCIDO</v>
      </c>
      <c r="K224" s="2379"/>
      <c r="L224" s="90"/>
      <c r="M224" s="91"/>
    </row>
    <row r="225" spans="2:10" ht="15.75">
      <c r="B225" s="3012" t="s">
        <v>1146</v>
      </c>
      <c r="C225" s="3111" t="s">
        <v>2659</v>
      </c>
      <c r="D225" s="3014">
        <v>43395</v>
      </c>
      <c r="E225" s="3112" t="str">
        <f ca="1">IF(D225&lt;$A$2,"VENCIDO",D225-$A$2)</f>
        <v>VENCIDO</v>
      </c>
      <c r="F225" s="492"/>
      <c r="G225" s="2521"/>
    </row>
    <row r="226" spans="2:10" ht="15.75">
      <c r="B226" s="3012" t="s">
        <v>1446</v>
      </c>
      <c r="C226" s="3111" t="s">
        <v>2659</v>
      </c>
      <c r="D226" s="3014">
        <v>43400</v>
      </c>
      <c r="E226" s="3112" t="str">
        <f ca="1">IF(D226&lt;$A$2,"VENCIDO",D226-$A$2)</f>
        <v>VENCIDO</v>
      </c>
      <c r="F226" s="492"/>
      <c r="G226" s="3329" t="s">
        <v>121</v>
      </c>
      <c r="H226" s="3330" t="s">
        <v>2269</v>
      </c>
      <c r="I226" s="3331" t="s">
        <v>759</v>
      </c>
      <c r="J226" s="3008" t="s">
        <v>122</v>
      </c>
    </row>
    <row r="227" spans="2:10" ht="18">
      <c r="C227" s="2522"/>
      <c r="D227" s="2540"/>
      <c r="E227" s="2533"/>
      <c r="G227" s="3351" t="s">
        <v>1436</v>
      </c>
      <c r="H227" s="3333" t="s">
        <v>2659</v>
      </c>
      <c r="I227" s="3334">
        <v>43842</v>
      </c>
      <c r="J227" s="3335" t="str">
        <f t="shared" ref="J227:J229" ca="1" si="7">IF(I227&lt;$A$2,"VENCIDO",I227-$A$2)</f>
        <v>VENCIDO</v>
      </c>
    </row>
    <row r="228" spans="2:10">
      <c r="B228" s="1944" t="s">
        <v>121</v>
      </c>
      <c r="C228" s="85" t="s">
        <v>2269</v>
      </c>
      <c r="D228" s="2042" t="s">
        <v>759</v>
      </c>
      <c r="E228" s="159" t="s">
        <v>122</v>
      </c>
      <c r="G228" s="3351" t="s">
        <v>4905</v>
      </c>
      <c r="H228" s="3333" t="s">
        <v>2659</v>
      </c>
      <c r="I228" s="3334">
        <v>43861</v>
      </c>
      <c r="J228" s="3335" t="str">
        <f t="shared" ca="1" si="7"/>
        <v>VENCIDO</v>
      </c>
    </row>
    <row r="229" spans="2:10" ht="15.75">
      <c r="B229" s="3012" t="s">
        <v>4034</v>
      </c>
      <c r="C229" s="3111" t="s">
        <v>2659</v>
      </c>
      <c r="D229" s="3014">
        <v>43431</v>
      </c>
      <c r="E229" s="3112" t="str">
        <f ca="1">IF(D229&lt;$A$2,"VENCIDO",D229-$A$2)</f>
        <v>VENCIDO</v>
      </c>
      <c r="G229" s="3351" t="s">
        <v>4710</v>
      </c>
      <c r="H229" s="3333" t="s">
        <v>1367</v>
      </c>
      <c r="I229" s="3334">
        <v>43844</v>
      </c>
      <c r="J229" s="3335" t="str">
        <f t="shared" ca="1" si="7"/>
        <v>VENCIDO</v>
      </c>
    </row>
    <row r="230" spans="2:10" ht="15.75">
      <c r="B230" s="3012" t="s">
        <v>1435</v>
      </c>
      <c r="C230" s="3111" t="s">
        <v>2659</v>
      </c>
      <c r="D230" s="3014">
        <v>43421</v>
      </c>
      <c r="E230" s="3112" t="str">
        <f ca="1">IF(D230&lt;$A$2,"VENCIDO",D230-$A$2)</f>
        <v>VENCIDO</v>
      </c>
    </row>
    <row r="231" spans="2:10">
      <c r="B231" s="3262"/>
      <c r="C231" s="3262"/>
      <c r="D231" s="3262"/>
      <c r="G231" s="3329" t="s">
        <v>121</v>
      </c>
      <c r="H231" s="3330" t="s">
        <v>2269</v>
      </c>
      <c r="I231" s="3331" t="s">
        <v>759</v>
      </c>
      <c r="J231" s="3008" t="s">
        <v>122</v>
      </c>
    </row>
    <row r="232" spans="2:10">
      <c r="B232" s="1944" t="s">
        <v>121</v>
      </c>
      <c r="C232" s="85" t="s">
        <v>2269</v>
      </c>
      <c r="D232" s="2042" t="s">
        <v>759</v>
      </c>
      <c r="E232" s="159" t="s">
        <v>122</v>
      </c>
      <c r="G232" s="3351" t="s">
        <v>1368</v>
      </c>
      <c r="H232" s="3333" t="s">
        <v>5462</v>
      </c>
      <c r="I232" s="3334">
        <v>43853</v>
      </c>
      <c r="J232" s="3335" t="str">
        <f t="shared" ref="J232" ca="1" si="8">IF(I232&lt;$A$2,"VENCIDO",I232-$A$2)</f>
        <v>VENCIDO</v>
      </c>
    </row>
    <row r="233" spans="2:10" ht="15.75">
      <c r="B233" s="3012" t="s">
        <v>1447</v>
      </c>
      <c r="C233" s="3111" t="s">
        <v>2659</v>
      </c>
      <c r="D233" s="3014">
        <v>43050</v>
      </c>
      <c r="E233" s="3112" t="s">
        <v>5603</v>
      </c>
    </row>
    <row r="234" spans="2:10">
      <c r="B234" s="3262"/>
      <c r="C234" s="3262"/>
      <c r="D234" s="3262"/>
      <c r="G234" s="3329" t="s">
        <v>121</v>
      </c>
      <c r="H234" s="3330" t="s">
        <v>2269</v>
      </c>
      <c r="I234" s="3331" t="s">
        <v>759</v>
      </c>
      <c r="J234" s="3008" t="s">
        <v>122</v>
      </c>
    </row>
    <row r="235" spans="2:10">
      <c r="B235" s="1944" t="s">
        <v>121</v>
      </c>
      <c r="C235" s="85" t="s">
        <v>2269</v>
      </c>
      <c r="D235" s="2042" t="s">
        <v>759</v>
      </c>
      <c r="E235" s="159" t="s">
        <v>122</v>
      </c>
      <c r="G235" s="3351" t="s">
        <v>1149</v>
      </c>
      <c r="H235" s="10" t="s">
        <v>3181</v>
      </c>
      <c r="I235" s="86">
        <v>41572</v>
      </c>
      <c r="J235" s="3335" t="str">
        <f t="shared" ref="J235" ca="1" si="9">IF(I235&lt;$A$2,"VENCIDO",I235-$A$2)</f>
        <v>VENCIDO</v>
      </c>
    </row>
    <row r="236" spans="2:10">
      <c r="B236" s="2076" t="s">
        <v>1436</v>
      </c>
      <c r="C236" s="2148" t="s">
        <v>2659</v>
      </c>
      <c r="D236" s="2330">
        <v>43477</v>
      </c>
      <c r="E236" s="3177" t="str">
        <f ca="1">IF(D236&lt;$A$2,"VENCIDO",D236-$A$2)</f>
        <v>VENCIDO</v>
      </c>
    </row>
    <row r="237" spans="2:10">
      <c r="B237" s="2076" t="s">
        <v>4905</v>
      </c>
      <c r="C237" s="2148" t="s">
        <v>2659</v>
      </c>
      <c r="D237" s="2330">
        <v>43496</v>
      </c>
      <c r="E237" s="3177" t="str">
        <f ca="1">IF(D237&lt;$A$2,"VENCIDO",D237-$A$2)</f>
        <v>VENCIDO</v>
      </c>
      <c r="G237" s="3329" t="s">
        <v>121</v>
      </c>
      <c r="H237" s="3330" t="s">
        <v>2269</v>
      </c>
      <c r="I237" s="3331" t="s">
        <v>759</v>
      </c>
      <c r="J237" s="3008" t="s">
        <v>122</v>
      </c>
    </row>
    <row r="238" spans="2:10">
      <c r="B238" s="2076" t="s">
        <v>5051</v>
      </c>
      <c r="C238" s="3269" t="s">
        <v>1679</v>
      </c>
      <c r="D238" s="3270">
        <v>43479</v>
      </c>
      <c r="E238" s="3271" t="str">
        <f ca="1">IF(D238&lt;$A$2,"VENCIDO",D238-$A$2)</f>
        <v>VENCIDO</v>
      </c>
      <c r="G238" s="3351" t="s">
        <v>5058</v>
      </c>
      <c r="H238" s="10" t="s">
        <v>3661</v>
      </c>
      <c r="I238" s="86">
        <v>43866</v>
      </c>
      <c r="J238" s="3702" t="str">
        <f ca="1">IF(I238&lt;$A$2,"VENCIDO",I238-$A$2)</f>
        <v>VENCIDO</v>
      </c>
    </row>
    <row r="239" spans="2:10">
      <c r="B239" s="3272"/>
      <c r="C239" s="3272"/>
      <c r="D239" s="3272"/>
      <c r="E239" s="3273"/>
    </row>
    <row r="240" spans="2:10">
      <c r="B240" s="1944" t="s">
        <v>121</v>
      </c>
      <c r="C240" s="85" t="s">
        <v>2269</v>
      </c>
      <c r="D240" s="2042" t="s">
        <v>3765</v>
      </c>
      <c r="E240" s="159" t="s">
        <v>122</v>
      </c>
    </row>
    <row r="241" spans="1:15">
      <c r="B241" s="2323" t="s">
        <v>1368</v>
      </c>
      <c r="C241" s="3269" t="s">
        <v>5619</v>
      </c>
      <c r="D241" s="3270">
        <v>43488</v>
      </c>
      <c r="E241" s="3271" t="str">
        <f ca="1">IF(D241&lt;$A$2,"VENCIDO",D241-$A$2)</f>
        <v>VENCIDO</v>
      </c>
    </row>
    <row r="242" spans="1:15">
      <c r="B242" s="3262"/>
      <c r="C242" s="3262"/>
      <c r="D242" s="3262"/>
    </row>
    <row r="243" spans="1:15">
      <c r="B243" s="1944" t="s">
        <v>121</v>
      </c>
      <c r="C243" s="85" t="s">
        <v>2269</v>
      </c>
      <c r="D243" s="2042" t="s">
        <v>3765</v>
      </c>
      <c r="E243" s="159" t="s">
        <v>122</v>
      </c>
    </row>
    <row r="244" spans="1:15">
      <c r="B244" s="2323" t="s">
        <v>5058</v>
      </c>
      <c r="C244" s="3269" t="s">
        <v>3661</v>
      </c>
      <c r="D244" s="3270">
        <v>43501</v>
      </c>
      <c r="E244" s="3271" t="str">
        <f ca="1">IF(D244&lt;$A$2,"VENCIDO",D244-$A$2)</f>
        <v>VENCIDO</v>
      </c>
    </row>
    <row r="245" spans="1:15">
      <c r="B245" s="3262"/>
      <c r="C245" s="3262"/>
      <c r="D245" s="3262"/>
    </row>
    <row r="246" spans="1:15">
      <c r="B246" s="1944" t="s">
        <v>121</v>
      </c>
      <c r="C246" s="85" t="s">
        <v>2269</v>
      </c>
      <c r="D246" s="2042" t="s">
        <v>3765</v>
      </c>
      <c r="E246" s="159" t="s">
        <v>122</v>
      </c>
    </row>
    <row r="247" spans="1:15">
      <c r="B247" s="2323" t="s">
        <v>1133</v>
      </c>
      <c r="C247" s="3269" t="s">
        <v>2659</v>
      </c>
      <c r="D247" s="3270">
        <v>43628</v>
      </c>
      <c r="E247" s="3271" t="str">
        <f ca="1">IF(D247&lt;$A$2,"VENCIDO",D247-$A$2)</f>
        <v>VENCIDO</v>
      </c>
    </row>
    <row r="248" spans="1:15">
      <c r="B248" s="3262"/>
      <c r="C248" s="3262"/>
      <c r="D248" s="3262"/>
    </row>
    <row r="249" spans="1:15">
      <c r="B249" s="3262"/>
      <c r="C249" s="3262"/>
      <c r="D249" s="3262"/>
    </row>
    <row r="250" spans="1:15">
      <c r="B250" s="3262"/>
      <c r="C250" s="3262"/>
      <c r="D250" s="3262"/>
    </row>
    <row r="251" spans="1:15">
      <c r="B251" s="3262"/>
      <c r="C251" s="3262"/>
      <c r="D251" s="3262"/>
    </row>
    <row r="253" spans="1:15">
      <c r="C253" s="3166" t="s">
        <v>5437</v>
      </c>
      <c r="D253" s="2540"/>
      <c r="L253" s="3193" t="s">
        <v>5445</v>
      </c>
      <c r="M253" s="3174"/>
    </row>
    <row r="254" spans="1:15" ht="15.75" thickBot="1">
      <c r="B254" s="484" t="s">
        <v>5085</v>
      </c>
      <c r="C254" s="2551"/>
      <c r="D254" s="2550"/>
      <c r="G254" s="3165" t="s">
        <v>5085</v>
      </c>
      <c r="H254" s="3166"/>
      <c r="I254" s="3167"/>
      <c r="L254" s="3812">
        <v>43276</v>
      </c>
      <c r="M254" s="3812"/>
    </row>
    <row r="255" spans="1:15" ht="15.75" thickBot="1">
      <c r="B255" s="1905" t="s">
        <v>121</v>
      </c>
      <c r="C255" s="210" t="s">
        <v>2269</v>
      </c>
      <c r="D255" s="1913" t="s">
        <v>759</v>
      </c>
      <c r="E255" s="1929" t="s">
        <v>122</v>
      </c>
      <c r="G255" s="1905" t="s">
        <v>121</v>
      </c>
      <c r="H255" s="210" t="s">
        <v>2269</v>
      </c>
      <c r="I255" s="1913" t="s">
        <v>759</v>
      </c>
      <c r="J255" s="1929" t="s">
        <v>122</v>
      </c>
      <c r="L255" s="3189" t="s">
        <v>121</v>
      </c>
      <c r="M255" s="3175" t="s">
        <v>2269</v>
      </c>
      <c r="N255" s="3176" t="s">
        <v>759</v>
      </c>
      <c r="O255" s="3178" t="s">
        <v>122</v>
      </c>
    </row>
    <row r="256" spans="1:15">
      <c r="A256" s="2143">
        <v>1</v>
      </c>
      <c r="B256" s="2494" t="s">
        <v>2172</v>
      </c>
      <c r="C256" s="2495" t="s">
        <v>2659</v>
      </c>
      <c r="D256" s="2496">
        <v>42921</v>
      </c>
      <c r="E256" s="2497">
        <v>9</v>
      </c>
      <c r="G256" s="2560" t="s">
        <v>2172</v>
      </c>
      <c r="H256" s="2484" t="s">
        <v>2659</v>
      </c>
      <c r="I256" s="2485">
        <v>43286</v>
      </c>
      <c r="J256" s="2561">
        <v>78</v>
      </c>
      <c r="K256">
        <v>1</v>
      </c>
      <c r="L256" s="3190" t="s">
        <v>2172</v>
      </c>
      <c r="M256" s="3184" t="s">
        <v>2659</v>
      </c>
      <c r="N256" s="2496">
        <v>43286</v>
      </c>
      <c r="O256" s="3181" t="str">
        <f ca="1">IF(N256&lt;$A$2,"VENCIDO",N256-$A$2)</f>
        <v>VENCIDO</v>
      </c>
    </row>
    <row r="257" spans="1:39">
      <c r="A257" s="2143">
        <f>1+A256</f>
        <v>2</v>
      </c>
      <c r="B257" s="2560" t="s">
        <v>1445</v>
      </c>
      <c r="C257" s="2484" t="s">
        <v>2659</v>
      </c>
      <c r="D257" s="2485">
        <v>42921</v>
      </c>
      <c r="E257" s="2561">
        <v>9</v>
      </c>
      <c r="G257" s="2560" t="s">
        <v>1445</v>
      </c>
      <c r="H257" s="2484" t="s">
        <v>2659</v>
      </c>
      <c r="I257" s="2485">
        <v>43286</v>
      </c>
      <c r="J257" s="2561">
        <v>78</v>
      </c>
      <c r="K257">
        <f>1+K256</f>
        <v>2</v>
      </c>
      <c r="L257" s="3191" t="s">
        <v>1445</v>
      </c>
      <c r="M257" s="3185" t="s">
        <v>2659</v>
      </c>
      <c r="N257" s="3180">
        <v>43286</v>
      </c>
      <c r="O257" s="3182" t="str">
        <f t="shared" ref="O257:O266" ca="1" si="10">IF(N257&lt;$A$2,"VENCIDO",N257-$A$2)</f>
        <v>VENCIDO</v>
      </c>
    </row>
    <row r="258" spans="1:39">
      <c r="A258" s="2143">
        <f t="shared" ref="A258:A274" si="11">1+A257</f>
        <v>3</v>
      </c>
      <c r="B258" s="2560" t="s">
        <v>4924</v>
      </c>
      <c r="C258" s="2484" t="s">
        <v>2659</v>
      </c>
      <c r="D258" s="2485">
        <v>42921</v>
      </c>
      <c r="E258" s="2561">
        <v>9</v>
      </c>
      <c r="G258" s="2560" t="s">
        <v>4034</v>
      </c>
      <c r="H258" s="2484" t="s">
        <v>2659</v>
      </c>
      <c r="I258" s="2485">
        <v>43431</v>
      </c>
      <c r="J258" s="2561">
        <v>223</v>
      </c>
      <c r="K258">
        <f t="shared" ref="K258:K274" si="12">1+K257</f>
        <v>3</v>
      </c>
      <c r="L258" s="3191" t="s">
        <v>4924</v>
      </c>
      <c r="M258" s="3185" t="s">
        <v>2659</v>
      </c>
      <c r="N258" s="3180">
        <v>43286</v>
      </c>
      <c r="O258" s="3182" t="str">
        <f t="shared" ca="1" si="10"/>
        <v>VENCIDO</v>
      </c>
    </row>
    <row r="259" spans="1:39">
      <c r="A259" s="2143">
        <f t="shared" si="11"/>
        <v>4</v>
      </c>
      <c r="B259" s="2560" t="s">
        <v>1320</v>
      </c>
      <c r="C259" s="2484" t="s">
        <v>2659</v>
      </c>
      <c r="D259" s="2485">
        <v>42921</v>
      </c>
      <c r="E259" s="2561">
        <v>9</v>
      </c>
      <c r="G259" s="2560" t="s">
        <v>4924</v>
      </c>
      <c r="H259" s="2484" t="s">
        <v>2659</v>
      </c>
      <c r="I259" s="2485">
        <v>43286</v>
      </c>
      <c r="J259" s="2561">
        <v>78</v>
      </c>
      <c r="K259">
        <f t="shared" si="12"/>
        <v>4</v>
      </c>
      <c r="L259" s="3191" t="s">
        <v>1320</v>
      </c>
      <c r="M259" s="3185" t="s">
        <v>2659</v>
      </c>
      <c r="N259" s="3180">
        <v>43286</v>
      </c>
      <c r="O259" s="3182" t="str">
        <f t="shared" ca="1" si="10"/>
        <v>VENCIDO</v>
      </c>
    </row>
    <row r="260" spans="1:39">
      <c r="A260" s="2143">
        <f t="shared" si="11"/>
        <v>5</v>
      </c>
      <c r="B260" s="2560" t="s">
        <v>1434</v>
      </c>
      <c r="C260" s="2484" t="s">
        <v>2659</v>
      </c>
      <c r="D260" s="2485">
        <v>42921</v>
      </c>
      <c r="E260" s="2561">
        <v>9</v>
      </c>
      <c r="G260" s="2560" t="s">
        <v>1446</v>
      </c>
      <c r="H260" s="2484" t="s">
        <v>2659</v>
      </c>
      <c r="I260" s="2485">
        <v>43400</v>
      </c>
      <c r="J260" s="2561">
        <v>192</v>
      </c>
      <c r="K260">
        <f t="shared" si="12"/>
        <v>5</v>
      </c>
      <c r="L260" s="3191" t="s">
        <v>1434</v>
      </c>
      <c r="M260" s="3185" t="s">
        <v>2659</v>
      </c>
      <c r="N260" s="3180">
        <v>43286</v>
      </c>
      <c r="O260" s="3182" t="str">
        <f t="shared" ca="1" si="10"/>
        <v>VENCIDO</v>
      </c>
    </row>
    <row r="261" spans="1:39">
      <c r="A261" s="2143">
        <f t="shared" si="11"/>
        <v>6</v>
      </c>
      <c r="B261" s="2560" t="s">
        <v>4487</v>
      </c>
      <c r="C261" s="2484" t="s">
        <v>2659</v>
      </c>
      <c r="D261" s="2485">
        <v>42921</v>
      </c>
      <c r="E261" s="2561">
        <v>9</v>
      </c>
      <c r="G261" s="2560" t="s">
        <v>1320</v>
      </c>
      <c r="H261" s="2484" t="s">
        <v>2659</v>
      </c>
      <c r="I261" s="2485">
        <v>43286</v>
      </c>
      <c r="J261" s="2561">
        <v>78</v>
      </c>
      <c r="K261">
        <f t="shared" si="12"/>
        <v>6</v>
      </c>
      <c r="L261" s="3191" t="s">
        <v>4487</v>
      </c>
      <c r="M261" s="3185" t="s">
        <v>2659</v>
      </c>
      <c r="N261" s="3180">
        <v>43286</v>
      </c>
      <c r="O261" s="3182" t="str">
        <f t="shared" ca="1" si="10"/>
        <v>VENCIDO</v>
      </c>
    </row>
    <row r="262" spans="1:39">
      <c r="A262" s="2143">
        <f t="shared" si="11"/>
        <v>7</v>
      </c>
      <c r="B262" s="2560" t="s">
        <v>1147</v>
      </c>
      <c r="C262" s="2484" t="s">
        <v>2659</v>
      </c>
      <c r="D262" s="2485">
        <v>42921</v>
      </c>
      <c r="E262" s="2561">
        <v>9</v>
      </c>
      <c r="G262" s="2560" t="s">
        <v>1434</v>
      </c>
      <c r="H262" s="2484" t="s">
        <v>2659</v>
      </c>
      <c r="I262" s="2485">
        <v>43286</v>
      </c>
      <c r="J262" s="2561">
        <v>78</v>
      </c>
      <c r="K262">
        <f t="shared" si="12"/>
        <v>7</v>
      </c>
      <c r="L262" s="3191" t="s">
        <v>1147</v>
      </c>
      <c r="M262" s="3185" t="s">
        <v>2659</v>
      </c>
      <c r="N262" s="3180">
        <v>43286</v>
      </c>
      <c r="O262" s="3182" t="str">
        <f t="shared" ca="1" si="10"/>
        <v>VENCIDO</v>
      </c>
    </row>
    <row r="263" spans="1:39">
      <c r="A263" s="2143">
        <f t="shared" si="11"/>
        <v>8</v>
      </c>
      <c r="B263" s="2560" t="s">
        <v>4138</v>
      </c>
      <c r="C263" s="2484" t="s">
        <v>2659</v>
      </c>
      <c r="D263" s="2485">
        <v>42921</v>
      </c>
      <c r="E263" s="2561">
        <v>9</v>
      </c>
      <c r="G263" s="2560" t="s">
        <v>1435</v>
      </c>
      <c r="H263" s="2484" t="s">
        <v>2659</v>
      </c>
      <c r="I263" s="2485">
        <v>43421</v>
      </c>
      <c r="J263" s="2561">
        <v>213</v>
      </c>
      <c r="K263">
        <f t="shared" si="12"/>
        <v>8</v>
      </c>
      <c r="L263" s="3191" t="s">
        <v>4138</v>
      </c>
      <c r="M263" s="3185" t="s">
        <v>2659</v>
      </c>
      <c r="N263" s="3180">
        <v>43286</v>
      </c>
      <c r="O263" s="3182" t="str">
        <f t="shared" ca="1" si="10"/>
        <v>VENCIDO</v>
      </c>
    </row>
    <row r="264" spans="1:39">
      <c r="A264" s="2143">
        <f t="shared" si="11"/>
        <v>9</v>
      </c>
      <c r="B264" s="2560" t="s">
        <v>1145</v>
      </c>
      <c r="C264" s="2484" t="s">
        <v>2659</v>
      </c>
      <c r="D264" s="2485">
        <v>42921</v>
      </c>
      <c r="E264" s="2561">
        <v>9</v>
      </c>
      <c r="G264" s="2560" t="s">
        <v>1436</v>
      </c>
      <c r="H264" s="2484" t="s">
        <v>2659</v>
      </c>
      <c r="I264" s="2485">
        <v>43477</v>
      </c>
      <c r="J264" s="2561">
        <v>269</v>
      </c>
      <c r="K264">
        <f t="shared" si="12"/>
        <v>9</v>
      </c>
      <c r="L264" s="3191" t="s">
        <v>1145</v>
      </c>
      <c r="M264" s="3185" t="s">
        <v>2659</v>
      </c>
      <c r="N264" s="3180">
        <v>43286</v>
      </c>
      <c r="O264" s="3182" t="str">
        <f t="shared" ca="1" si="10"/>
        <v>VENCIDO</v>
      </c>
      <c r="S264"/>
      <c r="AD264" s="890"/>
      <c r="AH264"/>
      <c r="AI264" s="2063"/>
      <c r="AM264"/>
    </row>
    <row r="265" spans="1:39">
      <c r="A265" s="2143">
        <f t="shared" si="11"/>
        <v>10</v>
      </c>
      <c r="B265" s="2560" t="s">
        <v>1437</v>
      </c>
      <c r="C265" s="2484" t="s">
        <v>2659</v>
      </c>
      <c r="D265" s="2485">
        <v>42921</v>
      </c>
      <c r="E265" s="2561">
        <v>9</v>
      </c>
      <c r="G265" s="2560" t="s">
        <v>4487</v>
      </c>
      <c r="H265" s="2484" t="s">
        <v>2659</v>
      </c>
      <c r="I265" s="2485">
        <v>43286</v>
      </c>
      <c r="J265" s="2561">
        <v>78</v>
      </c>
      <c r="K265">
        <f t="shared" si="12"/>
        <v>10</v>
      </c>
      <c r="L265" s="3191" t="s">
        <v>1437</v>
      </c>
      <c r="M265" s="3185" t="s">
        <v>2659</v>
      </c>
      <c r="N265" s="3180">
        <v>43286</v>
      </c>
      <c r="O265" s="3182" t="str">
        <f t="shared" ca="1" si="10"/>
        <v>VENCIDO</v>
      </c>
      <c r="S265"/>
      <c r="AD265" s="890"/>
      <c r="AH265"/>
      <c r="AI265" s="2063"/>
      <c r="AM265"/>
    </row>
    <row r="266" spans="1:39">
      <c r="A266" s="2143">
        <f t="shared" si="11"/>
        <v>11</v>
      </c>
      <c r="B266" s="2560" t="s">
        <v>1907</v>
      </c>
      <c r="C266" s="2484" t="s">
        <v>2659</v>
      </c>
      <c r="D266" s="2485">
        <v>42921</v>
      </c>
      <c r="E266" s="2561">
        <v>9</v>
      </c>
      <c r="G266" s="2560" t="s">
        <v>1147</v>
      </c>
      <c r="H266" s="2484" t="s">
        <v>2659</v>
      </c>
      <c r="I266" s="2485">
        <v>43286</v>
      </c>
      <c r="J266" s="2561">
        <v>78</v>
      </c>
      <c r="K266">
        <f t="shared" si="12"/>
        <v>11</v>
      </c>
      <c r="L266" s="3191" t="s">
        <v>1907</v>
      </c>
      <c r="M266" s="3185" t="s">
        <v>2659</v>
      </c>
      <c r="N266" s="3180">
        <v>43286</v>
      </c>
      <c r="O266" s="3182" t="str">
        <f t="shared" ca="1" si="10"/>
        <v>VENCIDO</v>
      </c>
      <c r="S266"/>
      <c r="AD266" s="890"/>
      <c r="AH266"/>
      <c r="AI266" s="2063"/>
      <c r="AM266"/>
    </row>
    <row r="267" spans="1:39">
      <c r="A267" s="2143">
        <f t="shared" si="11"/>
        <v>12</v>
      </c>
      <c r="B267" s="2560" t="s">
        <v>4302</v>
      </c>
      <c r="C267" s="2552" t="s">
        <v>2659</v>
      </c>
      <c r="D267" s="2485">
        <v>42921</v>
      </c>
      <c r="E267" s="2561">
        <v>9</v>
      </c>
      <c r="G267" s="2560" t="s">
        <v>4138</v>
      </c>
      <c r="H267" s="2484" t="s">
        <v>2659</v>
      </c>
      <c r="I267" s="2485">
        <v>43286</v>
      </c>
      <c r="J267" s="2561">
        <v>78</v>
      </c>
      <c r="K267">
        <f t="shared" si="12"/>
        <v>12</v>
      </c>
      <c r="L267" s="3191" t="s">
        <v>4302</v>
      </c>
      <c r="M267" s="3186" t="s">
        <v>2659</v>
      </c>
      <c r="N267" s="3180">
        <v>43286</v>
      </c>
      <c r="O267" s="3182" t="str">
        <f t="shared" ref="O267:O274" ca="1" si="13">IF(N267&lt;$A$2,"VENCIDO",N267-$A$2)</f>
        <v>VENCIDO</v>
      </c>
      <c r="S267"/>
      <c r="AD267" s="890"/>
      <c r="AH267"/>
      <c r="AI267" s="2063"/>
      <c r="AM267"/>
    </row>
    <row r="268" spans="1:39">
      <c r="A268" s="2143">
        <f t="shared" si="11"/>
        <v>13</v>
      </c>
      <c r="B268" s="2560" t="s">
        <v>1189</v>
      </c>
      <c r="C268" s="2552" t="s">
        <v>2659</v>
      </c>
      <c r="D268" s="2485">
        <v>42921</v>
      </c>
      <c r="E268" s="2561">
        <v>9</v>
      </c>
      <c r="G268" s="2560" t="s">
        <v>1146</v>
      </c>
      <c r="H268" s="2484" t="s">
        <v>2659</v>
      </c>
      <c r="I268" s="2485">
        <v>43395</v>
      </c>
      <c r="J268" s="2561">
        <v>187</v>
      </c>
      <c r="K268">
        <f t="shared" si="12"/>
        <v>13</v>
      </c>
      <c r="L268" s="3191" t="s">
        <v>1189</v>
      </c>
      <c r="M268" s="3186" t="s">
        <v>2659</v>
      </c>
      <c r="N268" s="3180">
        <v>43286</v>
      </c>
      <c r="O268" s="3182" t="str">
        <f t="shared" ca="1" si="13"/>
        <v>VENCIDO</v>
      </c>
      <c r="S268"/>
      <c r="AD268" s="890"/>
      <c r="AH268"/>
      <c r="AI268" s="2063"/>
      <c r="AM268"/>
    </row>
    <row r="269" spans="1:39">
      <c r="A269" s="2143">
        <f t="shared" si="11"/>
        <v>14</v>
      </c>
      <c r="B269" s="2560" t="s">
        <v>4303</v>
      </c>
      <c r="C269" s="2552" t="s">
        <v>2659</v>
      </c>
      <c r="D269" s="2485">
        <v>42921</v>
      </c>
      <c r="E269" s="2561">
        <v>9</v>
      </c>
      <c r="G269" s="2560" t="s">
        <v>1133</v>
      </c>
      <c r="H269" s="2484" t="s">
        <v>2659</v>
      </c>
      <c r="I269" s="2485">
        <v>43263</v>
      </c>
      <c r="J269" s="2561">
        <v>55</v>
      </c>
      <c r="K269">
        <f t="shared" si="12"/>
        <v>14</v>
      </c>
      <c r="L269" s="3191" t="s">
        <v>4303</v>
      </c>
      <c r="M269" s="3186" t="s">
        <v>2659</v>
      </c>
      <c r="N269" s="3180">
        <v>43286</v>
      </c>
      <c r="O269" s="3182" t="str">
        <f t="shared" ca="1" si="13"/>
        <v>VENCIDO</v>
      </c>
      <c r="S269"/>
      <c r="AD269" s="890"/>
      <c r="AH269"/>
      <c r="AI269" s="2063"/>
      <c r="AM269"/>
    </row>
    <row r="270" spans="1:39">
      <c r="A270" s="2143">
        <f t="shared" si="11"/>
        <v>15</v>
      </c>
      <c r="B270" s="2560" t="s">
        <v>2559</v>
      </c>
      <c r="C270" s="2552" t="s">
        <v>2659</v>
      </c>
      <c r="D270" s="2485">
        <v>42921</v>
      </c>
      <c r="E270" s="2561">
        <v>9</v>
      </c>
      <c r="G270" s="2560" t="s">
        <v>1145</v>
      </c>
      <c r="H270" s="2484" t="s">
        <v>2659</v>
      </c>
      <c r="I270" s="2485">
        <v>43286</v>
      </c>
      <c r="J270" s="2561">
        <v>78</v>
      </c>
      <c r="K270">
        <f t="shared" si="12"/>
        <v>15</v>
      </c>
      <c r="L270" s="3191" t="s">
        <v>2559</v>
      </c>
      <c r="M270" s="3186" t="s">
        <v>2659</v>
      </c>
      <c r="N270" s="3180">
        <v>43286</v>
      </c>
      <c r="O270" s="3182" t="str">
        <f t="shared" ca="1" si="13"/>
        <v>VENCIDO</v>
      </c>
      <c r="S270"/>
      <c r="AD270" s="890"/>
      <c r="AH270"/>
      <c r="AI270" s="2063"/>
      <c r="AM270"/>
    </row>
    <row r="271" spans="1:39">
      <c r="A271" s="2143">
        <f t="shared" si="11"/>
        <v>16</v>
      </c>
      <c r="B271" s="2560" t="s">
        <v>1134</v>
      </c>
      <c r="C271" s="2552" t="s">
        <v>2659</v>
      </c>
      <c r="D271" s="2485">
        <v>42921</v>
      </c>
      <c r="E271" s="2561">
        <v>9</v>
      </c>
      <c r="G271" s="2560" t="s">
        <v>1437</v>
      </c>
      <c r="H271" s="2484" t="s">
        <v>2659</v>
      </c>
      <c r="I271" s="2485">
        <v>43286</v>
      </c>
      <c r="J271" s="2561">
        <v>78</v>
      </c>
      <c r="K271">
        <f t="shared" si="12"/>
        <v>16</v>
      </c>
      <c r="L271" s="3191" t="s">
        <v>1134</v>
      </c>
      <c r="M271" s="3186" t="s">
        <v>2659</v>
      </c>
      <c r="N271" s="3180">
        <v>43286</v>
      </c>
      <c r="O271" s="3182" t="str">
        <f t="shared" ca="1" si="13"/>
        <v>VENCIDO</v>
      </c>
      <c r="S271"/>
      <c r="AD271" s="890"/>
      <c r="AH271"/>
      <c r="AI271" s="2063"/>
      <c r="AM271"/>
    </row>
    <row r="272" spans="1:39">
      <c r="A272" s="2143">
        <f t="shared" si="11"/>
        <v>17</v>
      </c>
      <c r="B272" s="2560" t="s">
        <v>1144</v>
      </c>
      <c r="C272" s="2552" t="s">
        <v>2659</v>
      </c>
      <c r="D272" s="2485">
        <v>42921</v>
      </c>
      <c r="E272" s="2561">
        <v>9</v>
      </c>
      <c r="G272" s="2560" t="s">
        <v>1907</v>
      </c>
      <c r="H272" s="2484" t="s">
        <v>2659</v>
      </c>
      <c r="I272" s="2485">
        <v>43286</v>
      </c>
      <c r="J272" s="2561">
        <v>78</v>
      </c>
      <c r="K272">
        <f t="shared" si="12"/>
        <v>17</v>
      </c>
      <c r="L272" s="3191" t="s">
        <v>1144</v>
      </c>
      <c r="M272" s="3186" t="s">
        <v>2659</v>
      </c>
      <c r="N272" s="3180">
        <v>43286</v>
      </c>
      <c r="O272" s="3182" t="str">
        <f t="shared" ca="1" si="13"/>
        <v>VENCIDO</v>
      </c>
      <c r="S272"/>
      <c r="AD272" s="890"/>
      <c r="AH272"/>
      <c r="AI272" s="2063"/>
      <c r="AM272"/>
    </row>
    <row r="273" spans="1:39">
      <c r="A273" s="2143">
        <f t="shared" si="11"/>
        <v>18</v>
      </c>
      <c r="B273" s="2560" t="s">
        <v>5083</v>
      </c>
      <c r="C273" s="811" t="s">
        <v>5084</v>
      </c>
      <c r="D273" s="2485">
        <v>42929</v>
      </c>
      <c r="E273" s="2561">
        <v>17</v>
      </c>
      <c r="G273" s="2560" t="s">
        <v>4905</v>
      </c>
      <c r="H273" s="2484" t="s">
        <v>2659</v>
      </c>
      <c r="I273" s="2485">
        <v>43496</v>
      </c>
      <c r="J273" s="2561">
        <v>288</v>
      </c>
      <c r="K273">
        <f t="shared" si="12"/>
        <v>18</v>
      </c>
      <c r="L273" s="3191" t="s">
        <v>3660</v>
      </c>
      <c r="M273" s="3187" t="s">
        <v>3661</v>
      </c>
      <c r="N273" s="3180">
        <v>43316</v>
      </c>
      <c r="O273" s="3182" t="str">
        <f t="shared" ca="1" si="13"/>
        <v>VENCIDO</v>
      </c>
      <c r="S273"/>
      <c r="AD273" s="890"/>
      <c r="AH273"/>
      <c r="AI273" s="2063"/>
      <c r="AM273"/>
    </row>
    <row r="274" spans="1:39" ht="15.75" thickBot="1">
      <c r="A274" s="2143">
        <f t="shared" si="11"/>
        <v>19</v>
      </c>
      <c r="B274" s="2505" t="s">
        <v>3660</v>
      </c>
      <c r="C274" s="2562" t="s">
        <v>3661</v>
      </c>
      <c r="D274" s="2507">
        <v>42951</v>
      </c>
      <c r="E274" s="2508">
        <v>39</v>
      </c>
      <c r="G274" s="2560" t="s">
        <v>4302</v>
      </c>
      <c r="H274" s="2484" t="s">
        <v>2659</v>
      </c>
      <c r="I274" s="2485">
        <v>43286</v>
      </c>
      <c r="J274" s="2561">
        <v>78</v>
      </c>
      <c r="K274">
        <f t="shared" si="12"/>
        <v>19</v>
      </c>
      <c r="L274" s="3192" t="s">
        <v>5446</v>
      </c>
      <c r="M274" s="3188" t="s">
        <v>5447</v>
      </c>
      <c r="N274" s="2507">
        <v>43296</v>
      </c>
      <c r="O274" s="3183" t="str">
        <f t="shared" ca="1" si="13"/>
        <v>VENCIDO</v>
      </c>
      <c r="S274"/>
      <c r="AD274" s="890"/>
      <c r="AH274"/>
      <c r="AI274" s="2063"/>
      <c r="AM274"/>
    </row>
    <row r="275" spans="1:39" ht="15.75">
      <c r="B275" s="2556" t="s">
        <v>1146</v>
      </c>
      <c r="C275" s="2557" t="s">
        <v>2659</v>
      </c>
      <c r="D275" s="2558">
        <v>43030</v>
      </c>
      <c r="E275" s="2559">
        <v>118</v>
      </c>
      <c r="G275" s="2560" t="s">
        <v>1189</v>
      </c>
      <c r="H275" s="2484" t="s">
        <v>2659</v>
      </c>
      <c r="I275" s="2485">
        <v>43286</v>
      </c>
      <c r="J275" s="2561">
        <v>78</v>
      </c>
      <c r="L275" s="2076"/>
      <c r="M275" s="3179"/>
      <c r="N275" s="2330"/>
      <c r="O275" s="3177"/>
      <c r="S275"/>
      <c r="AD275" s="890"/>
      <c r="AH275"/>
      <c r="AI275" s="2063"/>
      <c r="AM275"/>
    </row>
    <row r="276" spans="1:39">
      <c r="B276" s="2483" t="s">
        <v>1446</v>
      </c>
      <c r="C276" s="2484" t="s">
        <v>2659</v>
      </c>
      <c r="D276" s="2485">
        <v>43035</v>
      </c>
      <c r="E276" s="2553">
        <v>123</v>
      </c>
      <c r="G276" s="2560" t="s">
        <v>4303</v>
      </c>
      <c r="H276" s="2484" t="s">
        <v>2659</v>
      </c>
      <c r="I276" s="2485">
        <v>43286</v>
      </c>
      <c r="J276" s="2561">
        <v>78</v>
      </c>
      <c r="L276" s="2076"/>
      <c r="M276" s="2148"/>
      <c r="N276" s="2330"/>
      <c r="O276" s="3177"/>
      <c r="S276"/>
      <c r="AD276" s="890"/>
      <c r="AH276"/>
      <c r="AI276" s="2063"/>
      <c r="AM276"/>
    </row>
    <row r="277" spans="1:39">
      <c r="B277" s="2483" t="s">
        <v>1447</v>
      </c>
      <c r="C277" s="2484" t="s">
        <v>2659</v>
      </c>
      <c r="D277" s="2485">
        <v>43050</v>
      </c>
      <c r="E277" s="2553">
        <v>138</v>
      </c>
      <c r="G277" s="2560" t="s">
        <v>2559</v>
      </c>
      <c r="H277" s="2484" t="s">
        <v>2659</v>
      </c>
      <c r="I277" s="2485">
        <v>43286</v>
      </c>
      <c r="J277" s="2561">
        <v>78</v>
      </c>
      <c r="L277" s="75"/>
      <c r="M277" s="75"/>
      <c r="N277" s="75"/>
      <c r="O277" s="75"/>
      <c r="S277"/>
      <c r="AD277" s="890"/>
      <c r="AH277"/>
      <c r="AI277" s="2063"/>
      <c r="AM277"/>
    </row>
    <row r="278" spans="1:39">
      <c r="B278" s="2483" t="s">
        <v>4034</v>
      </c>
      <c r="C278" s="2484" t="s">
        <v>2659</v>
      </c>
      <c r="D278" s="2485">
        <v>43066</v>
      </c>
      <c r="E278" s="2553">
        <v>154</v>
      </c>
      <c r="G278" s="2560" t="s">
        <v>1134</v>
      </c>
      <c r="H278" s="2484" t="s">
        <v>2659</v>
      </c>
      <c r="I278" s="2485">
        <v>43286</v>
      </c>
      <c r="J278" s="2561">
        <v>78</v>
      </c>
      <c r="L278" s="75"/>
      <c r="M278" s="75"/>
      <c r="N278" s="75"/>
      <c r="O278" s="75"/>
      <c r="S278"/>
      <c r="AD278" s="890"/>
      <c r="AH278"/>
      <c r="AI278" s="2063"/>
      <c r="AM278"/>
    </row>
    <row r="279" spans="1:39">
      <c r="B279" s="2483" t="s">
        <v>1436</v>
      </c>
      <c r="C279" s="2484" t="s">
        <v>2659</v>
      </c>
      <c r="D279" s="2485">
        <v>43112</v>
      </c>
      <c r="E279" s="2553">
        <v>200</v>
      </c>
      <c r="G279" s="2560" t="s">
        <v>1144</v>
      </c>
      <c r="H279" s="2484" t="s">
        <v>2659</v>
      </c>
      <c r="I279" s="2485">
        <v>43286</v>
      </c>
      <c r="J279" s="2561">
        <v>78</v>
      </c>
      <c r="L279" s="2076"/>
      <c r="M279" s="2148"/>
      <c r="N279" s="2330"/>
      <c r="O279" s="3177"/>
      <c r="S279"/>
      <c r="AD279" s="890"/>
      <c r="AH279"/>
      <c r="AI279" s="2063"/>
      <c r="AM279"/>
    </row>
    <row r="280" spans="1:39">
      <c r="B280" s="2483" t="s">
        <v>4905</v>
      </c>
      <c r="C280" s="2484" t="s">
        <v>2659</v>
      </c>
      <c r="D280" s="2485">
        <v>43131</v>
      </c>
      <c r="E280" s="2553">
        <v>219</v>
      </c>
      <c r="G280" s="2560" t="s">
        <v>3660</v>
      </c>
      <c r="H280" s="2484" t="s">
        <v>3661</v>
      </c>
      <c r="I280" s="2485">
        <v>43316</v>
      </c>
      <c r="J280" s="2561">
        <v>108</v>
      </c>
      <c r="L280" s="2076"/>
      <c r="M280" s="2148"/>
      <c r="N280" s="2330"/>
      <c r="O280" s="3177"/>
      <c r="S280"/>
      <c r="AD280" s="890"/>
      <c r="AH280"/>
      <c r="AI280" s="2063"/>
      <c r="AM280"/>
    </row>
    <row r="281" spans="1:39">
      <c r="B281" s="2483" t="s">
        <v>5058</v>
      </c>
      <c r="C281" s="2554" t="s">
        <v>3661</v>
      </c>
      <c r="D281" s="2485">
        <v>43136</v>
      </c>
      <c r="E281" s="2553">
        <v>224</v>
      </c>
      <c r="G281" s="2560" t="s">
        <v>5058</v>
      </c>
      <c r="H281" s="2484" t="s">
        <v>3661</v>
      </c>
      <c r="I281" s="2485">
        <v>43501</v>
      </c>
      <c r="J281" s="2561">
        <v>293</v>
      </c>
      <c r="L281" s="2076"/>
      <c r="M281" s="2148"/>
      <c r="N281" s="2330"/>
      <c r="O281" s="3177"/>
      <c r="S281"/>
      <c r="AD281" s="890"/>
      <c r="AH281"/>
      <c r="AI281" s="2063"/>
      <c r="AM281"/>
    </row>
    <row r="282" spans="1:39">
      <c r="B282" s="2483" t="s">
        <v>5060</v>
      </c>
      <c r="C282" s="2554" t="s">
        <v>5062</v>
      </c>
      <c r="D282" s="2485">
        <v>43210</v>
      </c>
      <c r="E282" s="2553">
        <v>298</v>
      </c>
      <c r="G282" s="2560" t="s">
        <v>5060</v>
      </c>
      <c r="H282" s="2484" t="s">
        <v>5062</v>
      </c>
      <c r="I282" s="2485">
        <v>43575</v>
      </c>
      <c r="J282" s="2561">
        <v>367</v>
      </c>
      <c r="L282" s="75"/>
      <c r="M282" s="75"/>
      <c r="N282" s="75"/>
      <c r="O282" s="75"/>
      <c r="S282"/>
      <c r="AD282" s="890"/>
      <c r="AH282"/>
      <c r="AI282" s="2063"/>
      <c r="AM282"/>
    </row>
    <row r="283" spans="1:39">
      <c r="B283" s="2483" t="s">
        <v>5061</v>
      </c>
      <c r="C283" s="2554" t="s">
        <v>5062</v>
      </c>
      <c r="D283" s="2485">
        <v>43210</v>
      </c>
      <c r="E283" s="2553">
        <v>298</v>
      </c>
      <c r="G283" s="2560" t="s">
        <v>5061</v>
      </c>
      <c r="H283" s="2484" t="s">
        <v>5062</v>
      </c>
      <c r="I283" s="2485">
        <v>43575</v>
      </c>
      <c r="J283" s="2561">
        <v>367</v>
      </c>
      <c r="L283" s="75"/>
      <c r="M283" s="75"/>
      <c r="N283" s="75"/>
      <c r="O283" s="75"/>
      <c r="S283"/>
      <c r="AD283" s="890"/>
      <c r="AH283"/>
      <c r="AI283" s="2063"/>
      <c r="AM283"/>
    </row>
    <row r="284" spans="1:39">
      <c r="B284" s="2483" t="s">
        <v>1133</v>
      </c>
      <c r="C284" s="2484" t="s">
        <v>2659</v>
      </c>
      <c r="D284" s="2555">
        <v>43263</v>
      </c>
      <c r="E284" s="2553">
        <v>351</v>
      </c>
      <c r="L284" s="2076"/>
      <c r="M284" s="2148"/>
      <c r="N284" s="2330"/>
      <c r="O284" s="3177"/>
      <c r="S284"/>
      <c r="AD284" s="890"/>
      <c r="AH284"/>
      <c r="AI284" s="2063"/>
      <c r="AM284"/>
    </row>
    <row r="285" spans="1:39" ht="15.75" thickBot="1">
      <c r="L285" s="75"/>
      <c r="M285" s="75"/>
      <c r="N285" s="75"/>
      <c r="O285" s="75"/>
      <c r="S285"/>
      <c r="AD285" s="890"/>
      <c r="AH285"/>
      <c r="AI285" s="2063"/>
      <c r="AM285"/>
    </row>
    <row r="286" spans="1:39" ht="15.75" thickBot="1">
      <c r="A286" s="2143" t="s">
        <v>5018</v>
      </c>
      <c r="B286" s="3414" t="s">
        <v>121</v>
      </c>
      <c r="C286" s="210" t="s">
        <v>2269</v>
      </c>
      <c r="D286" s="1913" t="s">
        <v>759</v>
      </c>
      <c r="E286" s="1929" t="s">
        <v>122</v>
      </c>
      <c r="L286" s="2076"/>
      <c r="M286" s="2148"/>
      <c r="N286" s="2330"/>
      <c r="O286" s="3177"/>
      <c r="S286"/>
      <c r="AD286" s="890"/>
      <c r="AH286"/>
      <c r="AI286" s="2063"/>
      <c r="AM286"/>
    </row>
    <row r="287" spans="1:39">
      <c r="A287" s="3413">
        <v>1</v>
      </c>
      <c r="B287" s="3415" t="s">
        <v>2172</v>
      </c>
      <c r="C287" s="3416" t="s">
        <v>2659</v>
      </c>
      <c r="D287" s="2496">
        <v>43651</v>
      </c>
      <c r="E287" s="3181" t="str">
        <f t="shared" ref="E287:E297" ca="1" si="14">IF(D287&lt;$A$2,"VENCIDO",D287-$A$2)</f>
        <v>VENCIDO</v>
      </c>
      <c r="L287" s="2076"/>
      <c r="M287" s="2148"/>
      <c r="N287" s="2330"/>
      <c r="O287" s="3177"/>
      <c r="S287"/>
      <c r="AD287" s="890"/>
      <c r="AH287"/>
      <c r="AI287" s="2063"/>
      <c r="AM287"/>
    </row>
    <row r="288" spans="1:39">
      <c r="A288" s="3413">
        <v>2</v>
      </c>
      <c r="B288" s="3191" t="s">
        <v>1445</v>
      </c>
      <c r="C288" s="3417" t="s">
        <v>2659</v>
      </c>
      <c r="D288" s="3180">
        <v>43651</v>
      </c>
      <c r="E288" s="3182" t="str">
        <f t="shared" ca="1" si="14"/>
        <v>VENCIDO</v>
      </c>
      <c r="L288" s="75"/>
      <c r="M288" s="75"/>
      <c r="N288" s="75"/>
      <c r="O288" s="75"/>
      <c r="S288"/>
      <c r="AD288" s="890"/>
      <c r="AH288"/>
      <c r="AI288" s="2063"/>
      <c r="AM288"/>
    </row>
    <row r="289" spans="1:5">
      <c r="A289" s="3413">
        <v>3</v>
      </c>
      <c r="B289" s="3191" t="s">
        <v>4924</v>
      </c>
      <c r="C289" s="3417" t="s">
        <v>2659</v>
      </c>
      <c r="D289" s="3180">
        <v>43651</v>
      </c>
      <c r="E289" s="3182" t="str">
        <f t="shared" ca="1" si="14"/>
        <v>VENCIDO</v>
      </c>
    </row>
    <row r="290" spans="1:5">
      <c r="A290" s="3413">
        <v>4</v>
      </c>
      <c r="B290" s="3191" t="s">
        <v>1320</v>
      </c>
      <c r="C290" s="3417" t="s">
        <v>2659</v>
      </c>
      <c r="D290" s="3180">
        <v>43651</v>
      </c>
      <c r="E290" s="3182" t="str">
        <f t="shared" ca="1" si="14"/>
        <v>VENCIDO</v>
      </c>
    </row>
    <row r="291" spans="1:5">
      <c r="A291" s="3413">
        <v>5</v>
      </c>
      <c r="B291" s="3191" t="s">
        <v>1434</v>
      </c>
      <c r="C291" s="3417" t="s">
        <v>2659</v>
      </c>
      <c r="D291" s="3180">
        <v>43651</v>
      </c>
      <c r="E291" s="3182" t="str">
        <f t="shared" ca="1" si="14"/>
        <v>VENCIDO</v>
      </c>
    </row>
    <row r="292" spans="1:5">
      <c r="A292" s="3413">
        <v>6</v>
      </c>
      <c r="B292" s="3191" t="s">
        <v>4487</v>
      </c>
      <c r="C292" s="3417" t="s">
        <v>2659</v>
      </c>
      <c r="D292" s="3180">
        <v>43651</v>
      </c>
      <c r="E292" s="3182" t="str">
        <f t="shared" ca="1" si="14"/>
        <v>VENCIDO</v>
      </c>
    </row>
    <row r="293" spans="1:5">
      <c r="A293" s="3413">
        <v>7</v>
      </c>
      <c r="B293" s="3191" t="s">
        <v>1147</v>
      </c>
      <c r="C293" s="3417" t="s">
        <v>2659</v>
      </c>
      <c r="D293" s="3180">
        <v>43651</v>
      </c>
      <c r="E293" s="3182" t="str">
        <f t="shared" ca="1" si="14"/>
        <v>VENCIDO</v>
      </c>
    </row>
    <row r="294" spans="1:5">
      <c r="A294" s="3413">
        <v>8</v>
      </c>
      <c r="B294" s="3191" t="s">
        <v>4138</v>
      </c>
      <c r="C294" s="3417" t="s">
        <v>2659</v>
      </c>
      <c r="D294" s="3180">
        <v>43651</v>
      </c>
      <c r="E294" s="3182" t="str">
        <f t="shared" ca="1" si="14"/>
        <v>VENCIDO</v>
      </c>
    </row>
    <row r="295" spans="1:5">
      <c r="A295" s="3413">
        <v>9</v>
      </c>
      <c r="B295" s="3191" t="s">
        <v>1145</v>
      </c>
      <c r="C295" s="3417" t="s">
        <v>2659</v>
      </c>
      <c r="D295" s="3180">
        <v>43651</v>
      </c>
      <c r="E295" s="3182" t="str">
        <f t="shared" ca="1" si="14"/>
        <v>VENCIDO</v>
      </c>
    </row>
    <row r="296" spans="1:5">
      <c r="A296" s="3413">
        <v>10</v>
      </c>
      <c r="B296" s="3191" t="s">
        <v>1437</v>
      </c>
      <c r="C296" s="3417" t="s">
        <v>2659</v>
      </c>
      <c r="D296" s="3180">
        <v>43651</v>
      </c>
      <c r="E296" s="3182" t="str">
        <f t="shared" ca="1" si="14"/>
        <v>VENCIDO</v>
      </c>
    </row>
    <row r="297" spans="1:5">
      <c r="A297" s="3413">
        <v>11</v>
      </c>
      <c r="B297" s="3191" t="s">
        <v>1907</v>
      </c>
      <c r="C297" s="3417" t="s">
        <v>2659</v>
      </c>
      <c r="D297" s="3180">
        <v>43651</v>
      </c>
      <c r="E297" s="3182" t="str">
        <f t="shared" ca="1" si="14"/>
        <v>VENCIDO</v>
      </c>
    </row>
    <row r="298" spans="1:5">
      <c r="A298" s="3413">
        <v>12</v>
      </c>
      <c r="B298" s="3191" t="s">
        <v>4302</v>
      </c>
      <c r="C298" s="3418" t="s">
        <v>2659</v>
      </c>
      <c r="D298" s="3180">
        <v>43651</v>
      </c>
      <c r="E298" s="3182" t="str">
        <f t="shared" ref="E298:E303" ca="1" si="15">IF(D298&lt;$A$2,"VENCIDO",D298-$A$2)</f>
        <v>VENCIDO</v>
      </c>
    </row>
    <row r="299" spans="1:5">
      <c r="A299" s="3413">
        <v>13</v>
      </c>
      <c r="B299" s="3191" t="s">
        <v>1189</v>
      </c>
      <c r="C299" s="3418" t="s">
        <v>2659</v>
      </c>
      <c r="D299" s="3180">
        <v>43651</v>
      </c>
      <c r="E299" s="3182" t="str">
        <f t="shared" ca="1" si="15"/>
        <v>VENCIDO</v>
      </c>
    </row>
    <row r="300" spans="1:5">
      <c r="A300" s="3413">
        <v>14</v>
      </c>
      <c r="B300" s="3191" t="s">
        <v>4303</v>
      </c>
      <c r="C300" s="3418" t="s">
        <v>2659</v>
      </c>
      <c r="D300" s="3180">
        <v>43651</v>
      </c>
      <c r="E300" s="3182" t="str">
        <f t="shared" ca="1" si="15"/>
        <v>VENCIDO</v>
      </c>
    </row>
    <row r="301" spans="1:5">
      <c r="A301" s="3413">
        <v>15</v>
      </c>
      <c r="B301" s="3191" t="s">
        <v>2559</v>
      </c>
      <c r="C301" s="3418" t="s">
        <v>2659</v>
      </c>
      <c r="D301" s="3180">
        <v>43651</v>
      </c>
      <c r="E301" s="3182" t="str">
        <f t="shared" ca="1" si="15"/>
        <v>VENCIDO</v>
      </c>
    </row>
    <row r="302" spans="1:5">
      <c r="A302" s="3413">
        <v>16</v>
      </c>
      <c r="B302" s="3191" t="s">
        <v>1134</v>
      </c>
      <c r="C302" s="3418" t="s">
        <v>2659</v>
      </c>
      <c r="D302" s="3180">
        <v>43651</v>
      </c>
      <c r="E302" s="3182" t="str">
        <f t="shared" ca="1" si="15"/>
        <v>VENCIDO</v>
      </c>
    </row>
    <row r="303" spans="1:5">
      <c r="A303" s="3413">
        <v>17</v>
      </c>
      <c r="B303" s="3191" t="s">
        <v>1144</v>
      </c>
      <c r="C303" s="3418" t="s">
        <v>2659</v>
      </c>
      <c r="D303" s="3180">
        <v>43651</v>
      </c>
      <c r="E303" s="3182" t="str">
        <f t="shared" ca="1" si="15"/>
        <v>VENCIDO</v>
      </c>
    </row>
    <row r="304" spans="1:5" ht="15.75" thickBot="1">
      <c r="A304" s="3413">
        <v>18</v>
      </c>
      <c r="B304" s="3192" t="s">
        <v>5850</v>
      </c>
      <c r="C304" s="3419" t="s">
        <v>3100</v>
      </c>
      <c r="D304" s="3420">
        <v>43661</v>
      </c>
      <c r="E304" s="3421" t="str">
        <f ca="1">IF(D304&lt;$A$2,"VENCIDO",D304-$A$2)</f>
        <v>VENCIDO</v>
      </c>
    </row>
    <row r="305" spans="2:5">
      <c r="B305" s="3411"/>
      <c r="C305" s="3411"/>
      <c r="D305" s="3411"/>
      <c r="E305" s="75"/>
    </row>
    <row r="306" spans="2:5">
      <c r="B306" s="3411"/>
      <c r="C306" s="3411"/>
      <c r="D306" s="3411"/>
      <c r="E306" s="75"/>
    </row>
  </sheetData>
  <sortState ref="E79:I83">
    <sortCondition ref="H79:H83"/>
  </sortState>
  <mergeCells count="51">
    <mergeCell ref="S70:T70"/>
    <mergeCell ref="M205:M206"/>
    <mergeCell ref="S75:T76"/>
    <mergeCell ref="L254:M254"/>
    <mergeCell ref="C161:C165"/>
    <mergeCell ref="E161:E164"/>
    <mergeCell ref="S83:T84"/>
    <mergeCell ref="S78:T78"/>
    <mergeCell ref="S86:T86"/>
    <mergeCell ref="S91:T92"/>
    <mergeCell ref="S94:T94"/>
    <mergeCell ref="S99:T100"/>
    <mergeCell ref="S106:T106"/>
    <mergeCell ref="S111:T112"/>
    <mergeCell ref="I105:J105"/>
    <mergeCell ref="D105:E105"/>
    <mergeCell ref="S117:T117"/>
    <mergeCell ref="S123:T124"/>
    <mergeCell ref="X11:Y11"/>
    <mergeCell ref="F35:G35"/>
    <mergeCell ref="AM1:AN1"/>
    <mergeCell ref="AH6:AI6"/>
    <mergeCell ref="AH16:AI16"/>
    <mergeCell ref="AB2:AC2"/>
    <mergeCell ref="AE2:AF2"/>
    <mergeCell ref="AH5:AI5"/>
    <mergeCell ref="AH2:AJ2"/>
    <mergeCell ref="AH3:AI3"/>
    <mergeCell ref="AH4:AI4"/>
    <mergeCell ref="AH7:AI7"/>
    <mergeCell ref="AH12:AI12"/>
    <mergeCell ref="AH8:AI8"/>
    <mergeCell ref="AH9:AI9"/>
    <mergeCell ref="AH10:AI10"/>
    <mergeCell ref="AH11:AI11"/>
    <mergeCell ref="AH17:AI17"/>
    <mergeCell ref="AE19:AH19"/>
    <mergeCell ref="AH14:AI14"/>
    <mergeCell ref="AI33:AJ33"/>
    <mergeCell ref="AH13:AI13"/>
    <mergeCell ref="AH18:AI18"/>
    <mergeCell ref="AH15:AI15"/>
    <mergeCell ref="AI19:AJ19"/>
    <mergeCell ref="S67:T68"/>
    <mergeCell ref="S62:T62"/>
    <mergeCell ref="S46:T46"/>
    <mergeCell ref="S38:T38"/>
    <mergeCell ref="B1:U1"/>
    <mergeCell ref="J22:P23"/>
    <mergeCell ref="S29:T29"/>
    <mergeCell ref="O26:P26"/>
  </mergeCells>
  <phoneticPr fontId="230" type="noConversion"/>
  <conditionalFormatting sqref="E192:E193 E189 E196 E199 E179:E181 E185 E256:E284 E204:E206 E209 E212 E250 E241 E236:E238 E244 E247 E287:E304 O279:O281 O284 O286:O287 O256:O276 O21:P21 R10:R17 M21 E3:E39 R2:R4 R6:R8 M69:M71 J256:J283 K287 J204 J285:J288 J207:J208 J211:J213 O3:O18 M3:M18 J215 I3:I14 J218:J219 J222:J224 J227:J229 J232 J235 J238">
    <cfRule type="cellIs" dxfId="22" priority="199" stopIfTrue="1" operator="notBetween">
      <formula>1</formula>
      <formula>366</formula>
    </cfRule>
    <cfRule type="cellIs" dxfId="21" priority="200" stopIfTrue="1" operator="between">
      <formula>1</formula>
      <formula>7</formula>
    </cfRule>
    <cfRule type="cellIs" dxfId="20" priority="201" stopIfTrue="1" operator="between">
      <formula>8</formula>
      <formula>366</formula>
    </cfRule>
  </conditionalFormatting>
  <conditionalFormatting sqref="F36:F41">
    <cfRule type="cellIs" dxfId="19" priority="207" stopIfTrue="1" operator="notEqual">
      <formula>" "</formula>
    </cfRule>
  </conditionalFormatting>
  <conditionalFormatting sqref="E189 E193">
    <cfRule type="cellIs" dxfId="18" priority="190" stopIfTrue="1" operator="notBetween">
      <formula>1</formula>
      <formula>366</formula>
    </cfRule>
    <cfRule type="cellIs" dxfId="17" priority="191" stopIfTrue="1" operator="between">
      <formula>1</formula>
      <formula>7</formula>
    </cfRule>
    <cfRule type="cellIs" dxfId="16" priority="192" stopIfTrue="1" operator="between">
      <formula>8</formula>
      <formula>366</formula>
    </cfRule>
  </conditionalFormatting>
  <hyperlinks>
    <hyperlink ref="Q4" r:id="rId1"/>
    <hyperlink ref="Q14" r:id="rId2"/>
    <hyperlink ref="Q13" r:id="rId3"/>
    <hyperlink ref="Q12" r:id="rId4"/>
    <hyperlink ref="Q6" r:id="rId5"/>
    <hyperlink ref="T16" r:id="rId6" display="ESSALUD ACRED"/>
    <hyperlink ref="Q2" r:id="rId7"/>
    <hyperlink ref="Q3" r:id="rId8"/>
    <hyperlink ref="Q7" r:id="rId9"/>
    <hyperlink ref="R24" r:id="rId10"/>
    <hyperlink ref="Q5" r:id="rId11" display="http://www.primax.com.pe/"/>
    <hyperlink ref="W16" r:id="rId12"/>
    <hyperlink ref="S20" r:id="rId13"/>
    <hyperlink ref="X19" r:id="rId14"/>
    <hyperlink ref="X21" r:id="rId15"/>
    <hyperlink ref="X23" r:id="rId16"/>
    <hyperlink ref="X27" r:id="rId17"/>
    <hyperlink ref="X29" r:id="rId18"/>
    <hyperlink ref="X33" r:id="rId19"/>
    <hyperlink ref="X35" r:id="rId20"/>
    <hyperlink ref="X37" r:id="rId21"/>
    <hyperlink ref="X45" r:id="rId22" display="yonatandiazbilbao@hotmail.com"/>
    <hyperlink ref="X41" r:id="rId23" display="yonatandiazbilbao@hotmail.com"/>
    <hyperlink ref="X56" r:id="rId24" display="yonatandiazbilbao@hotmail.com"/>
    <hyperlink ref="Q16" r:id="rId25"/>
    <hyperlink ref="X60" r:id="rId26" display="yonatandiazbilbao@hotmail.com"/>
    <hyperlink ref="X64" r:id="rId27" display="yonatandiazbilbao@hotmail.com"/>
    <hyperlink ref="X68" r:id="rId28" display="yonatandiazbilbao@hotmail.com"/>
    <hyperlink ref="X72" r:id="rId29" display="yonatandiazbilbao@hotmail.com"/>
    <hyperlink ref="X84" r:id="rId30" display="yonatandiazbilbao@hotmail.com"/>
    <hyperlink ref="X78" r:id="rId31" display="yonatandiazbilbao@hotmail.com"/>
    <hyperlink ref="X90" r:id="rId32" display="yonatandiazbilbao@hotmail.com"/>
    <hyperlink ref="X96" r:id="rId33" display="yonatandiazbilbao@hotmail.com"/>
    <hyperlink ref="X102" r:id="rId34" display="yonatandiazbilbao@hotmail.com"/>
    <hyperlink ref="K48" r:id="rId35"/>
    <hyperlink ref="H49" r:id="rId36" display="mailto:JuanM@transcosta.com.pe"/>
  </hyperlinks>
  <printOptions horizontalCentered="1"/>
  <pageMargins left="0.23622047244094491" right="0.23622047244094491" top="1.1417322834645669" bottom="0.74803149606299213" header="0.31496062992125984" footer="0.31496062992125984"/>
  <pageSetup paperSize="9" scale="160" orientation="portrait" copies="2" r:id="rId37"/>
  <headerFooter alignWithMargins="0"/>
  <ignoredErrors>
    <ignoredError sqref="M12 O12" evalError="1"/>
    <ignoredError sqref="W39 W66 W70 W82" numberStoredAsText="1"/>
  </ignoredErrors>
  <drawing r:id="rId38"/>
  <legacyDrawing r:id="rId39"/>
</worksheet>
</file>

<file path=xl/worksheets/sheet8.xml><?xml version="1.0" encoding="utf-8"?>
<worksheet xmlns="http://schemas.openxmlformats.org/spreadsheetml/2006/main" xmlns:r="http://schemas.openxmlformats.org/officeDocument/2006/relationships">
  <sheetPr codeName="Hoja25"/>
  <dimension ref="A2:K94"/>
  <sheetViews>
    <sheetView topLeftCell="A55" workbookViewId="0">
      <selection activeCell="I8" sqref="I8"/>
    </sheetView>
  </sheetViews>
  <sheetFormatPr baseColWidth="10" defaultRowHeight="15"/>
  <cols>
    <col min="1" max="1" width="3.7109375" style="3285" customWidth="1"/>
    <col min="2" max="3" width="5.28515625" style="3286" bestFit="1" customWidth="1"/>
    <col min="4" max="4" width="11.42578125" style="3292"/>
    <col min="5" max="5" width="15.28515625" style="3292" bestFit="1" customWidth="1"/>
    <col min="6" max="6" width="10.85546875" style="3292" bestFit="1" customWidth="1"/>
    <col min="7" max="7" width="24.28515625" style="3292" bestFit="1" customWidth="1"/>
    <col min="8" max="8" width="17.28515625" style="3292" bestFit="1" customWidth="1"/>
    <col min="9" max="9" width="8.42578125" style="3292" bestFit="1" customWidth="1"/>
    <col min="10" max="10" width="11" style="3292" bestFit="1" customWidth="1"/>
    <col min="11" max="11" width="11.85546875" style="3292" bestFit="1" customWidth="1"/>
    <col min="12" max="16384" width="11.42578125" style="3292"/>
  </cols>
  <sheetData>
    <row r="2" spans="1:11">
      <c r="D2" s="3287" t="s">
        <v>5463</v>
      </c>
      <c r="E2" s="3288"/>
      <c r="F2" s="3289" t="s">
        <v>5636</v>
      </c>
      <c r="G2" s="3290"/>
      <c r="H2" s="3291"/>
      <c r="I2" s="3291"/>
      <c r="J2" s="3291"/>
      <c r="K2" s="3291"/>
    </row>
    <row r="3" spans="1:11">
      <c r="D3" s="3287" t="s">
        <v>5464</v>
      </c>
      <c r="E3" s="3288"/>
      <c r="F3" s="3820">
        <v>20492292592</v>
      </c>
      <c r="G3" s="3820"/>
      <c r="H3" s="3291"/>
      <c r="I3" s="3291"/>
      <c r="J3" s="3291"/>
      <c r="K3" s="3291"/>
    </row>
    <row r="4" spans="1:11" ht="12.95" customHeight="1">
      <c r="D4" s="3293" t="s">
        <v>2484</v>
      </c>
      <c r="E4" s="3288"/>
      <c r="F4" s="3821" t="s">
        <v>5465</v>
      </c>
      <c r="G4" s="3821"/>
      <c r="H4" s="3821"/>
      <c r="I4" s="3821"/>
      <c r="J4" s="3821"/>
      <c r="K4" s="3821"/>
    </row>
    <row r="5" spans="1:11" ht="12.95" customHeight="1">
      <c r="D5" s="3293"/>
      <c r="E5" s="3288"/>
      <c r="F5" s="3821"/>
      <c r="G5" s="3821"/>
      <c r="H5" s="3821"/>
      <c r="I5" s="3821"/>
      <c r="J5" s="3821"/>
      <c r="K5" s="3821"/>
    </row>
    <row r="6" spans="1:11">
      <c r="D6" s="3293" t="s">
        <v>5466</v>
      </c>
      <c r="E6" s="3288"/>
      <c r="F6" s="3294"/>
      <c r="G6" s="3290"/>
      <c r="H6" s="3291"/>
      <c r="I6" s="3291"/>
      <c r="J6" s="3291"/>
      <c r="K6" s="3291"/>
    </row>
    <row r="7" spans="1:11">
      <c r="D7" s="3295" t="s">
        <v>5467</v>
      </c>
      <c r="E7" s="3288"/>
      <c r="F7" s="3294" t="s">
        <v>5468</v>
      </c>
      <c r="G7" s="3290"/>
      <c r="H7" s="3291"/>
      <c r="I7" s="3291"/>
      <c r="J7" s="3291"/>
      <c r="K7" s="3291"/>
    </row>
    <row r="8" spans="1:11">
      <c r="D8" s="3293" t="s">
        <v>5469</v>
      </c>
      <c r="E8" s="3288"/>
      <c r="F8" s="3294" t="s">
        <v>5470</v>
      </c>
      <c r="G8" s="3290"/>
      <c r="H8" s="3291"/>
      <c r="I8" s="3291"/>
      <c r="J8" s="3291"/>
      <c r="K8" s="3291"/>
    </row>
    <row r="9" spans="1:11">
      <c r="D9" s="3293" t="s">
        <v>5471</v>
      </c>
      <c r="E9" s="3288"/>
      <c r="F9" s="3294" t="s">
        <v>5472</v>
      </c>
      <c r="G9" s="3290"/>
      <c r="H9" s="3291"/>
      <c r="I9" s="3291"/>
      <c r="J9" s="3291"/>
      <c r="K9" s="3291"/>
    </row>
    <row r="10" spans="1:11">
      <c r="D10" s="3293" t="s">
        <v>5473</v>
      </c>
      <c r="E10" s="3288"/>
      <c r="F10" s="3294" t="s">
        <v>5474</v>
      </c>
      <c r="G10" s="3290"/>
      <c r="H10" s="3291"/>
      <c r="I10" s="3291"/>
      <c r="J10" s="3291"/>
      <c r="K10" s="3291"/>
    </row>
    <row r="11" spans="1:11">
      <c r="D11" s="3822" t="s">
        <v>5475</v>
      </c>
      <c r="E11" s="3822"/>
      <c r="F11" s="3823">
        <v>47062</v>
      </c>
      <c r="G11" s="3823"/>
      <c r="H11" s="3291"/>
      <c r="I11" s="3291"/>
      <c r="J11" s="3291"/>
      <c r="K11" s="3291"/>
    </row>
    <row r="12" spans="1:11" ht="15.75" thickBot="1">
      <c r="B12" s="3296"/>
      <c r="C12" s="3296"/>
      <c r="D12" s="3297"/>
      <c r="E12" s="3297"/>
      <c r="F12" s="3297"/>
      <c r="G12" s="3297"/>
      <c r="H12" s="3297"/>
      <c r="I12" s="3298" t="s">
        <v>5637</v>
      </c>
      <c r="J12" s="3297"/>
      <c r="K12" s="3297"/>
    </row>
    <row r="13" spans="1:11" ht="15.75" thickBot="1">
      <c r="B13" s="3299" t="s">
        <v>5478</v>
      </c>
      <c r="C13" s="3300" t="s">
        <v>3511</v>
      </c>
      <c r="D13" s="3300" t="s">
        <v>3591</v>
      </c>
      <c r="E13" s="3300" t="s">
        <v>2757</v>
      </c>
      <c r="F13" s="3300" t="s">
        <v>5479</v>
      </c>
      <c r="G13" s="3300" t="s">
        <v>4319</v>
      </c>
      <c r="H13" s="3300" t="s">
        <v>4320</v>
      </c>
      <c r="I13" s="3300" t="s">
        <v>4321</v>
      </c>
      <c r="J13" s="3300" t="s">
        <v>1520</v>
      </c>
      <c r="K13" s="3301" t="s">
        <v>4070</v>
      </c>
    </row>
    <row r="14" spans="1:11">
      <c r="A14" s="3285" t="s">
        <v>5638</v>
      </c>
      <c r="B14" s="3302">
        <v>1</v>
      </c>
      <c r="C14" s="3302">
        <v>101</v>
      </c>
      <c r="D14" s="3302" t="s">
        <v>5639</v>
      </c>
      <c r="E14" s="3302" t="s">
        <v>5640</v>
      </c>
      <c r="F14" s="3303" t="s">
        <v>5489</v>
      </c>
      <c r="G14" s="3303" t="s">
        <v>1787</v>
      </c>
      <c r="H14" s="3302" t="s">
        <v>1788</v>
      </c>
      <c r="I14" s="3303" t="s">
        <v>2833</v>
      </c>
      <c r="J14" s="3304" t="s">
        <v>5641</v>
      </c>
      <c r="K14" s="3304" t="s">
        <v>8</v>
      </c>
    </row>
    <row r="15" spans="1:11">
      <c r="A15" s="3285" t="s">
        <v>5638</v>
      </c>
      <c r="B15" s="3302">
        <v>2</v>
      </c>
      <c r="C15" s="3305">
        <v>105</v>
      </c>
      <c r="D15" s="3305" t="s">
        <v>5542</v>
      </c>
      <c r="E15" s="3305" t="s">
        <v>5642</v>
      </c>
      <c r="F15" s="3306" t="s">
        <v>5489</v>
      </c>
      <c r="G15" s="3306" t="s">
        <v>2522</v>
      </c>
      <c r="H15" s="3305" t="s">
        <v>2832</v>
      </c>
      <c r="I15" s="3306" t="s">
        <v>2833</v>
      </c>
      <c r="J15" s="3307" t="s">
        <v>5544</v>
      </c>
      <c r="K15" s="3307" t="s">
        <v>4261</v>
      </c>
    </row>
    <row r="16" spans="1:11">
      <c r="A16" s="3285" t="s">
        <v>5638</v>
      </c>
      <c r="B16" s="3302">
        <v>3</v>
      </c>
      <c r="C16" s="3305">
        <v>111</v>
      </c>
      <c r="D16" s="3305" t="s">
        <v>5643</v>
      </c>
      <c r="E16" s="3305" t="s">
        <v>5644</v>
      </c>
      <c r="F16" s="3306" t="s">
        <v>5489</v>
      </c>
      <c r="G16" s="3306" t="s">
        <v>2471</v>
      </c>
      <c r="H16" s="3305" t="s">
        <v>1201</v>
      </c>
      <c r="I16" s="3306" t="s">
        <v>2833</v>
      </c>
      <c r="J16" s="3307" t="s">
        <v>5645</v>
      </c>
      <c r="K16" s="3307" t="s">
        <v>9</v>
      </c>
    </row>
    <row r="17" spans="1:11">
      <c r="A17" s="3285" t="s">
        <v>5638</v>
      </c>
      <c r="B17" s="3302">
        <v>4</v>
      </c>
      <c r="C17" s="3305">
        <v>114</v>
      </c>
      <c r="D17" s="3305" t="s">
        <v>5646</v>
      </c>
      <c r="E17" s="3305" t="s">
        <v>5647</v>
      </c>
      <c r="F17" s="3306" t="s">
        <v>5489</v>
      </c>
      <c r="G17" s="3306" t="s">
        <v>826</v>
      </c>
      <c r="H17" s="3305" t="s">
        <v>1201</v>
      </c>
      <c r="I17" s="3306" t="s">
        <v>2833</v>
      </c>
      <c r="J17" s="3307" t="s">
        <v>5648</v>
      </c>
      <c r="K17" s="3307" t="s">
        <v>4262</v>
      </c>
    </row>
    <row r="18" spans="1:11">
      <c r="A18" s="3285" t="s">
        <v>5638</v>
      </c>
      <c r="B18" s="3302">
        <v>5</v>
      </c>
      <c r="C18" s="3305">
        <v>116</v>
      </c>
      <c r="D18" s="3305" t="s">
        <v>5649</v>
      </c>
      <c r="E18" s="3305" t="s">
        <v>5650</v>
      </c>
      <c r="F18" s="3306" t="s">
        <v>5489</v>
      </c>
      <c r="G18" s="3306" t="s">
        <v>3967</v>
      </c>
      <c r="H18" s="3305" t="s">
        <v>1201</v>
      </c>
      <c r="I18" s="3306" t="s">
        <v>2833</v>
      </c>
      <c r="J18" s="3307" t="s">
        <v>5648</v>
      </c>
      <c r="K18" s="3307" t="s">
        <v>4262</v>
      </c>
    </row>
    <row r="19" spans="1:11">
      <c r="A19" s="3285" t="s">
        <v>5638</v>
      </c>
      <c r="B19" s="3308">
        <v>6</v>
      </c>
      <c r="C19" s="3309">
        <v>119</v>
      </c>
      <c r="D19" s="3309" t="s">
        <v>5651</v>
      </c>
      <c r="E19" s="3309">
        <v>151842727</v>
      </c>
      <c r="F19" s="3310" t="s">
        <v>5489</v>
      </c>
      <c r="G19" s="3310" t="s">
        <v>4386</v>
      </c>
      <c r="H19" s="3309">
        <v>1965</v>
      </c>
      <c r="I19" s="3310" t="s">
        <v>2833</v>
      </c>
      <c r="J19" s="3311" t="s">
        <v>5648</v>
      </c>
      <c r="K19" s="3311" t="s">
        <v>4262</v>
      </c>
    </row>
    <row r="20" spans="1:11">
      <c r="A20" s="3285" t="s">
        <v>5638</v>
      </c>
      <c r="B20" s="3302">
        <v>7</v>
      </c>
      <c r="C20" s="3305">
        <v>122</v>
      </c>
      <c r="D20" s="3305" t="s">
        <v>5652</v>
      </c>
      <c r="E20" s="3305" t="s">
        <v>5653</v>
      </c>
      <c r="F20" s="3306" t="s">
        <v>5538</v>
      </c>
      <c r="G20" s="3306" t="s">
        <v>2889</v>
      </c>
      <c r="H20" s="3305" t="s">
        <v>4775</v>
      </c>
      <c r="I20" s="3306" t="s">
        <v>2833</v>
      </c>
      <c r="J20" s="3307" t="s">
        <v>10</v>
      </c>
      <c r="K20" s="3307" t="s">
        <v>11</v>
      </c>
    </row>
    <row r="21" spans="1:11">
      <c r="A21" s="3285" t="s">
        <v>5638</v>
      </c>
      <c r="B21" s="3302">
        <v>8</v>
      </c>
      <c r="C21" s="3305">
        <v>123</v>
      </c>
      <c r="D21" s="3305" t="s">
        <v>5654</v>
      </c>
      <c r="E21" s="3305" t="s">
        <v>5655</v>
      </c>
      <c r="F21" s="3306" t="s">
        <v>5489</v>
      </c>
      <c r="G21" s="3306" t="s">
        <v>745</v>
      </c>
      <c r="H21" s="3305" t="s">
        <v>621</v>
      </c>
      <c r="I21" s="3306" t="s">
        <v>2833</v>
      </c>
      <c r="J21" s="3307" t="s">
        <v>5656</v>
      </c>
      <c r="K21" s="3307" t="s">
        <v>12</v>
      </c>
    </row>
    <row r="22" spans="1:11">
      <c r="A22" s="3285" t="s">
        <v>5638</v>
      </c>
      <c r="B22" s="3302">
        <v>9</v>
      </c>
      <c r="C22" s="3305">
        <v>124</v>
      </c>
      <c r="D22" s="3305" t="s">
        <v>5657</v>
      </c>
      <c r="E22" s="3305" t="s">
        <v>5658</v>
      </c>
      <c r="F22" s="3306" t="s">
        <v>5489</v>
      </c>
      <c r="G22" s="3306" t="s">
        <v>444</v>
      </c>
      <c r="H22" s="3305" t="s">
        <v>1138</v>
      </c>
      <c r="I22" s="3306" t="s">
        <v>2833</v>
      </c>
      <c r="J22" s="3307" t="s">
        <v>5659</v>
      </c>
      <c r="K22" s="3307" t="s">
        <v>5660</v>
      </c>
    </row>
    <row r="23" spans="1:11">
      <c r="A23" s="3285" t="s">
        <v>5638</v>
      </c>
      <c r="B23" s="3302">
        <v>10</v>
      </c>
      <c r="C23" s="3305">
        <v>152</v>
      </c>
      <c r="D23" s="3305" t="s">
        <v>5661</v>
      </c>
      <c r="E23" s="3305" t="s">
        <v>5662</v>
      </c>
      <c r="F23" s="3306" t="s">
        <v>5489</v>
      </c>
      <c r="G23" s="3306" t="s">
        <v>3121</v>
      </c>
      <c r="H23" s="3305" t="s">
        <v>3268</v>
      </c>
      <c r="I23" s="3306" t="s">
        <v>2833</v>
      </c>
      <c r="J23" s="3307" t="s">
        <v>5663</v>
      </c>
      <c r="K23" s="3307" t="s">
        <v>2594</v>
      </c>
    </row>
    <row r="24" spans="1:11">
      <c r="A24" s="3285" t="s">
        <v>5638</v>
      </c>
      <c r="B24" s="3302">
        <v>11</v>
      </c>
      <c r="C24" s="3305">
        <v>153</v>
      </c>
      <c r="D24" s="3305" t="s">
        <v>5664</v>
      </c>
      <c r="E24" s="3305" t="s">
        <v>5665</v>
      </c>
      <c r="F24" s="3306" t="s">
        <v>5489</v>
      </c>
      <c r="G24" s="3306" t="s">
        <v>2583</v>
      </c>
      <c r="H24" s="3305" t="s">
        <v>3268</v>
      </c>
      <c r="I24" s="3306" t="s">
        <v>2833</v>
      </c>
      <c r="J24" s="3307" t="s">
        <v>5666</v>
      </c>
      <c r="K24" s="3307" t="s">
        <v>4702</v>
      </c>
    </row>
    <row r="25" spans="1:11">
      <c r="A25" s="3285" t="s">
        <v>5638</v>
      </c>
      <c r="B25" s="3302">
        <v>12</v>
      </c>
      <c r="C25" s="3305">
        <v>154</v>
      </c>
      <c r="D25" s="3305" t="s">
        <v>5545</v>
      </c>
      <c r="E25" s="3305" t="s">
        <v>5667</v>
      </c>
      <c r="F25" s="3306" t="s">
        <v>5489</v>
      </c>
      <c r="G25" s="3306" t="s">
        <v>4904</v>
      </c>
      <c r="H25" s="3305" t="s">
        <v>3268</v>
      </c>
      <c r="I25" s="3306" t="s">
        <v>2833</v>
      </c>
      <c r="J25" s="3307" t="s">
        <v>5547</v>
      </c>
      <c r="K25" s="3307" t="s">
        <v>4697</v>
      </c>
    </row>
    <row r="26" spans="1:11">
      <c r="A26" s="3285" t="s">
        <v>5638</v>
      </c>
      <c r="B26" s="3302">
        <v>13</v>
      </c>
      <c r="C26" s="3305">
        <v>156</v>
      </c>
      <c r="D26" s="3305" t="s">
        <v>5668</v>
      </c>
      <c r="E26" s="3305" t="s">
        <v>5669</v>
      </c>
      <c r="F26" s="3306" t="s">
        <v>5489</v>
      </c>
      <c r="G26" s="3306" t="s">
        <v>2378</v>
      </c>
      <c r="H26" s="3305" t="s">
        <v>3268</v>
      </c>
      <c r="I26" s="3306" t="s">
        <v>2833</v>
      </c>
      <c r="J26" s="3307" t="s">
        <v>5670</v>
      </c>
      <c r="K26" s="3307" t="s">
        <v>545</v>
      </c>
    </row>
    <row r="27" spans="1:11">
      <c r="A27" s="3285" t="s">
        <v>5638</v>
      </c>
      <c r="B27" s="3302">
        <v>14</v>
      </c>
      <c r="C27" s="3305">
        <v>158</v>
      </c>
      <c r="D27" s="3305" t="s">
        <v>5671</v>
      </c>
      <c r="E27" s="3305" t="s">
        <v>5672</v>
      </c>
      <c r="F27" s="3306" t="s">
        <v>5489</v>
      </c>
      <c r="G27" s="3306" t="s">
        <v>4153</v>
      </c>
      <c r="H27" s="3305" t="s">
        <v>3268</v>
      </c>
      <c r="I27" s="3306" t="s">
        <v>2833</v>
      </c>
      <c r="J27" s="3307" t="s">
        <v>5673</v>
      </c>
      <c r="K27" s="3307" t="s">
        <v>2593</v>
      </c>
    </row>
    <row r="28" spans="1:11">
      <c r="A28" s="3285" t="s">
        <v>5638</v>
      </c>
      <c r="B28" s="3302">
        <v>15</v>
      </c>
      <c r="C28" s="3305">
        <v>159</v>
      </c>
      <c r="D28" s="3305" t="s">
        <v>5674</v>
      </c>
      <c r="E28" s="3305" t="s">
        <v>5675</v>
      </c>
      <c r="F28" s="3306" t="s">
        <v>5489</v>
      </c>
      <c r="G28" s="3306" t="s">
        <v>1307</v>
      </c>
      <c r="H28" s="3305" t="s">
        <v>3268</v>
      </c>
      <c r="I28" s="3306" t="s">
        <v>2833</v>
      </c>
      <c r="J28" s="3307" t="s">
        <v>5676</v>
      </c>
      <c r="K28" s="3307" t="s">
        <v>5677</v>
      </c>
    </row>
    <row r="29" spans="1:11">
      <c r="A29" s="3285" t="s">
        <v>5638</v>
      </c>
      <c r="B29" s="3302">
        <v>16</v>
      </c>
      <c r="C29" s="3305">
        <v>160</v>
      </c>
      <c r="D29" s="3305" t="s">
        <v>5678</v>
      </c>
      <c r="E29" s="3305" t="s">
        <v>5679</v>
      </c>
      <c r="F29" s="3306" t="s">
        <v>5489</v>
      </c>
      <c r="G29" s="3306" t="s">
        <v>1993</v>
      </c>
      <c r="H29" s="3305" t="s">
        <v>3268</v>
      </c>
      <c r="I29" s="3306" t="s">
        <v>2833</v>
      </c>
      <c r="J29" s="3307" t="s">
        <v>5680</v>
      </c>
      <c r="K29" s="3307" t="s">
        <v>3205</v>
      </c>
    </row>
    <row r="30" spans="1:11">
      <c r="A30" s="3285" t="s">
        <v>5638</v>
      </c>
      <c r="B30" s="3302">
        <v>17</v>
      </c>
      <c r="C30" s="3305">
        <v>161</v>
      </c>
      <c r="D30" s="3305" t="s">
        <v>5681</v>
      </c>
      <c r="E30" s="3305" t="s">
        <v>5682</v>
      </c>
      <c r="F30" s="3306" t="s">
        <v>5489</v>
      </c>
      <c r="G30" s="3306" t="s">
        <v>3203</v>
      </c>
      <c r="H30" s="3305" t="s">
        <v>1474</v>
      </c>
      <c r="I30" s="3306" t="s">
        <v>2833</v>
      </c>
      <c r="J30" s="3307" t="s">
        <v>5683</v>
      </c>
      <c r="K30" s="3307" t="s">
        <v>4653</v>
      </c>
    </row>
    <row r="31" spans="1:11">
      <c r="A31" s="3285" t="s">
        <v>5638</v>
      </c>
      <c r="B31" s="3302">
        <v>18</v>
      </c>
      <c r="C31" s="3305">
        <v>162</v>
      </c>
      <c r="D31" s="3305" t="s">
        <v>5684</v>
      </c>
      <c r="E31" s="3305" t="s">
        <v>5685</v>
      </c>
      <c r="F31" s="3306" t="s">
        <v>5489</v>
      </c>
      <c r="G31" s="3306" t="s">
        <v>2496</v>
      </c>
      <c r="H31" s="3305" t="s">
        <v>1474</v>
      </c>
      <c r="I31" s="3306" t="s">
        <v>2833</v>
      </c>
      <c r="J31" s="3307" t="s">
        <v>5673</v>
      </c>
      <c r="K31" s="3307" t="s">
        <v>2593</v>
      </c>
    </row>
    <row r="32" spans="1:11">
      <c r="A32" s="3285" t="s">
        <v>5638</v>
      </c>
      <c r="B32" s="3302">
        <v>19</v>
      </c>
      <c r="C32" s="3305">
        <v>163</v>
      </c>
      <c r="D32" s="3305" t="s">
        <v>5686</v>
      </c>
      <c r="E32" s="3305" t="s">
        <v>5687</v>
      </c>
      <c r="F32" s="3306" t="s">
        <v>5489</v>
      </c>
      <c r="G32" s="3306" t="s">
        <v>2992</v>
      </c>
      <c r="H32" s="3305" t="s">
        <v>1474</v>
      </c>
      <c r="I32" s="3306" t="s">
        <v>2833</v>
      </c>
      <c r="J32" s="3307" t="s">
        <v>5680</v>
      </c>
      <c r="K32" s="3307" t="s">
        <v>3205</v>
      </c>
    </row>
    <row r="33" spans="1:11">
      <c r="A33" s="3285" t="s">
        <v>5638</v>
      </c>
      <c r="B33" s="3302">
        <v>20</v>
      </c>
      <c r="C33" s="3305">
        <v>164</v>
      </c>
      <c r="D33" s="3305" t="s">
        <v>5688</v>
      </c>
      <c r="E33" s="3305" t="s">
        <v>5689</v>
      </c>
      <c r="F33" s="3306" t="s">
        <v>5489</v>
      </c>
      <c r="G33" s="3306" t="s">
        <v>284</v>
      </c>
      <c r="H33" s="3305" t="s">
        <v>1474</v>
      </c>
      <c r="I33" s="3306" t="s">
        <v>2833</v>
      </c>
      <c r="J33" s="3307" t="s">
        <v>5690</v>
      </c>
      <c r="K33" s="3307" t="s">
        <v>4701</v>
      </c>
    </row>
    <row r="34" spans="1:11">
      <c r="A34" s="3285" t="s">
        <v>5638</v>
      </c>
      <c r="B34" s="3302">
        <v>21</v>
      </c>
      <c r="C34" s="3305">
        <v>165</v>
      </c>
      <c r="D34" s="3305" t="s">
        <v>5691</v>
      </c>
      <c r="E34" s="3305" t="s">
        <v>5692</v>
      </c>
      <c r="F34" s="3306" t="s">
        <v>5489</v>
      </c>
      <c r="G34" s="3306" t="s">
        <v>516</v>
      </c>
      <c r="H34" s="3305" t="s">
        <v>1474</v>
      </c>
      <c r="I34" s="3306" t="s">
        <v>2833</v>
      </c>
      <c r="J34" s="3307" t="s">
        <v>5693</v>
      </c>
      <c r="K34" s="3307" t="s">
        <v>4699</v>
      </c>
    </row>
    <row r="35" spans="1:11">
      <c r="A35" s="3285" t="s">
        <v>5638</v>
      </c>
      <c r="B35" s="3302">
        <v>22</v>
      </c>
      <c r="C35" s="3305">
        <v>166</v>
      </c>
      <c r="D35" s="3305" t="s">
        <v>5694</v>
      </c>
      <c r="E35" s="3305" t="s">
        <v>5695</v>
      </c>
      <c r="F35" s="3306" t="s">
        <v>5489</v>
      </c>
      <c r="G35" s="3306" t="s">
        <v>2281</v>
      </c>
      <c r="H35" s="3305" t="s">
        <v>1474</v>
      </c>
      <c r="I35" s="3306" t="s">
        <v>2833</v>
      </c>
      <c r="J35" s="3307" t="s">
        <v>5680</v>
      </c>
      <c r="K35" s="3307" t="s">
        <v>3205</v>
      </c>
    </row>
    <row r="36" spans="1:11">
      <c r="A36" s="3285" t="s">
        <v>5638</v>
      </c>
      <c r="B36" s="3302">
        <v>23</v>
      </c>
      <c r="C36" s="3305">
        <v>167</v>
      </c>
      <c r="D36" s="3305" t="s">
        <v>5696</v>
      </c>
      <c r="E36" s="3305" t="s">
        <v>5697</v>
      </c>
      <c r="F36" s="3306" t="s">
        <v>5489</v>
      </c>
      <c r="G36" s="3306" t="s">
        <v>3605</v>
      </c>
      <c r="H36" s="3305" t="s">
        <v>1474</v>
      </c>
      <c r="I36" s="3306" t="s">
        <v>2833</v>
      </c>
      <c r="J36" s="3307" t="s">
        <v>5680</v>
      </c>
      <c r="K36" s="3307" t="s">
        <v>3205</v>
      </c>
    </row>
    <row r="37" spans="1:11">
      <c r="A37" s="3285" t="s">
        <v>5638</v>
      </c>
      <c r="B37" s="3302">
        <v>24</v>
      </c>
      <c r="C37" s="3305">
        <v>169</v>
      </c>
      <c r="D37" s="3305" t="s">
        <v>5698</v>
      </c>
      <c r="E37" s="3305" t="s">
        <v>5699</v>
      </c>
      <c r="F37" s="3306" t="s">
        <v>5489</v>
      </c>
      <c r="G37" s="3306" t="s">
        <v>1473</v>
      </c>
      <c r="H37" s="3305" t="s">
        <v>1474</v>
      </c>
      <c r="I37" s="3306" t="s">
        <v>2833</v>
      </c>
      <c r="J37" s="3307" t="s">
        <v>5700</v>
      </c>
      <c r="K37" s="3307" t="s">
        <v>4651</v>
      </c>
    </row>
    <row r="38" spans="1:11">
      <c r="A38" s="3285" t="s">
        <v>5638</v>
      </c>
      <c r="B38" s="3302">
        <v>25</v>
      </c>
      <c r="C38" s="3305">
        <v>170</v>
      </c>
      <c r="D38" s="3305" t="s">
        <v>5701</v>
      </c>
      <c r="E38" s="3305" t="s">
        <v>5702</v>
      </c>
      <c r="F38" s="3306" t="s">
        <v>5489</v>
      </c>
      <c r="G38" s="3306" t="s">
        <v>3526</v>
      </c>
      <c r="H38" s="3305" t="s">
        <v>1474</v>
      </c>
      <c r="I38" s="3306" t="s">
        <v>2833</v>
      </c>
      <c r="J38" s="3307" t="s">
        <v>5703</v>
      </c>
      <c r="K38" s="3307" t="s">
        <v>4652</v>
      </c>
    </row>
    <row r="39" spans="1:11">
      <c r="A39" s="3285" t="s">
        <v>5638</v>
      </c>
      <c r="B39" s="3302">
        <v>26</v>
      </c>
      <c r="C39" s="3305">
        <v>171</v>
      </c>
      <c r="D39" s="3305" t="s">
        <v>5487</v>
      </c>
      <c r="E39" s="3305" t="s">
        <v>5704</v>
      </c>
      <c r="F39" s="3306" t="s">
        <v>5489</v>
      </c>
      <c r="G39" s="3306" t="s">
        <v>5490</v>
      </c>
      <c r="H39" s="3305" t="s">
        <v>5491</v>
      </c>
      <c r="I39" s="3306" t="s">
        <v>2833</v>
      </c>
      <c r="J39" s="3307" t="s">
        <v>5492</v>
      </c>
      <c r="K39" s="3307" t="s">
        <v>1179</v>
      </c>
    </row>
    <row r="40" spans="1:11" ht="15.75" thickBot="1">
      <c r="A40" s="3285" t="s">
        <v>5638</v>
      </c>
      <c r="B40" s="3312">
        <v>27</v>
      </c>
      <c r="C40" s="3312">
        <v>172</v>
      </c>
      <c r="D40" s="3312" t="s">
        <v>5511</v>
      </c>
      <c r="E40" s="3312" t="s">
        <v>5705</v>
      </c>
      <c r="F40" s="3313" t="s">
        <v>5489</v>
      </c>
      <c r="G40" s="3313" t="s">
        <v>5513</v>
      </c>
      <c r="H40" s="3312" t="s">
        <v>2811</v>
      </c>
      <c r="I40" s="3313" t="s">
        <v>2833</v>
      </c>
      <c r="J40" s="3314" t="s">
        <v>5514</v>
      </c>
      <c r="K40" s="3314" t="s">
        <v>5515</v>
      </c>
    </row>
    <row r="41" spans="1:11" ht="15.75" thickTop="1">
      <c r="A41" s="3285" t="s">
        <v>5638</v>
      </c>
      <c r="B41" s="3302">
        <v>28</v>
      </c>
      <c r="C41" s="3302">
        <v>200</v>
      </c>
      <c r="D41" s="3302" t="s">
        <v>5706</v>
      </c>
      <c r="E41" s="3302" t="s">
        <v>5707</v>
      </c>
      <c r="F41" s="3303" t="s">
        <v>5538</v>
      </c>
      <c r="G41" s="3303" t="s">
        <v>5708</v>
      </c>
      <c r="H41" s="3302" t="s">
        <v>755</v>
      </c>
      <c r="I41" s="3303" t="s">
        <v>2833</v>
      </c>
      <c r="J41" s="3304" t="s">
        <v>2084</v>
      </c>
      <c r="K41" s="3304" t="s">
        <v>2085</v>
      </c>
    </row>
    <row r="42" spans="1:11">
      <c r="A42" s="3285" t="s">
        <v>5638</v>
      </c>
      <c r="B42" s="3302">
        <v>29</v>
      </c>
      <c r="C42" s="3305">
        <v>210</v>
      </c>
      <c r="D42" s="3305" t="s">
        <v>5709</v>
      </c>
      <c r="E42" s="3305" t="s">
        <v>5710</v>
      </c>
      <c r="F42" s="3306" t="s">
        <v>5538</v>
      </c>
      <c r="G42" s="3306" t="s">
        <v>3219</v>
      </c>
      <c r="H42" s="3305" t="s">
        <v>755</v>
      </c>
      <c r="I42" s="3306" t="s">
        <v>2833</v>
      </c>
      <c r="J42" s="3307" t="s">
        <v>2084</v>
      </c>
      <c r="K42" s="3307" t="s">
        <v>2085</v>
      </c>
    </row>
    <row r="43" spans="1:11">
      <c r="A43" s="3285" t="s">
        <v>5638</v>
      </c>
      <c r="B43" s="3302">
        <v>30</v>
      </c>
      <c r="C43" s="3305">
        <v>214</v>
      </c>
      <c r="D43" s="3305" t="s">
        <v>5711</v>
      </c>
      <c r="E43" s="3305" t="s">
        <v>5712</v>
      </c>
      <c r="F43" s="3306" t="s">
        <v>5482</v>
      </c>
      <c r="G43" s="3306" t="s">
        <v>5713</v>
      </c>
      <c r="H43" s="3305" t="s">
        <v>755</v>
      </c>
      <c r="I43" s="3306" t="s">
        <v>2833</v>
      </c>
      <c r="J43" s="3307" t="s">
        <v>2084</v>
      </c>
      <c r="K43" s="3307" t="s">
        <v>2068</v>
      </c>
    </row>
    <row r="44" spans="1:11">
      <c r="A44" s="3285" t="s">
        <v>5638</v>
      </c>
      <c r="B44" s="3302">
        <v>31</v>
      </c>
      <c r="C44" s="3305">
        <v>218</v>
      </c>
      <c r="D44" s="3305" t="s">
        <v>5714</v>
      </c>
      <c r="E44" s="3305" t="s">
        <v>5715</v>
      </c>
      <c r="F44" s="3306" t="s">
        <v>5538</v>
      </c>
      <c r="G44" s="3306" t="s">
        <v>5716</v>
      </c>
      <c r="H44" s="3305" t="s">
        <v>4567</v>
      </c>
      <c r="I44" s="3306" t="s">
        <v>2833</v>
      </c>
      <c r="J44" s="3307" t="s">
        <v>2071</v>
      </c>
      <c r="K44" s="3307" t="s">
        <v>4317</v>
      </c>
    </row>
    <row r="45" spans="1:11">
      <c r="A45" s="3285" t="s">
        <v>5638</v>
      </c>
      <c r="B45" s="3302">
        <v>32</v>
      </c>
      <c r="C45" s="3305">
        <v>221</v>
      </c>
      <c r="D45" s="3305" t="s">
        <v>5717</v>
      </c>
      <c r="E45" s="3305" t="s">
        <v>5718</v>
      </c>
      <c r="F45" s="3306" t="s">
        <v>5538</v>
      </c>
      <c r="G45" s="3306" t="s">
        <v>2190</v>
      </c>
      <c r="H45" s="3305" t="s">
        <v>4567</v>
      </c>
      <c r="I45" s="3306" t="s">
        <v>2833</v>
      </c>
      <c r="J45" s="3307" t="s">
        <v>10</v>
      </c>
      <c r="K45" s="3307" t="s">
        <v>3047</v>
      </c>
    </row>
    <row r="46" spans="1:11">
      <c r="A46" s="3285" t="s">
        <v>5638</v>
      </c>
      <c r="B46" s="3302">
        <v>33</v>
      </c>
      <c r="C46" s="3305">
        <v>224</v>
      </c>
      <c r="D46" s="3305" t="s">
        <v>5719</v>
      </c>
      <c r="E46" s="3305" t="s">
        <v>5720</v>
      </c>
      <c r="F46" s="3306" t="s">
        <v>5538</v>
      </c>
      <c r="G46" s="3306" t="s">
        <v>5721</v>
      </c>
      <c r="H46" s="3305" t="s">
        <v>3095</v>
      </c>
      <c r="I46" s="3306" t="s">
        <v>2833</v>
      </c>
      <c r="J46" s="3307" t="s">
        <v>10</v>
      </c>
      <c r="K46" s="3307" t="s">
        <v>3048</v>
      </c>
    </row>
    <row r="47" spans="1:11">
      <c r="A47" s="3285" t="s">
        <v>5638</v>
      </c>
      <c r="B47" s="3302">
        <v>34</v>
      </c>
      <c r="C47" s="3305">
        <v>229</v>
      </c>
      <c r="D47" s="3305" t="s">
        <v>5722</v>
      </c>
      <c r="E47" s="3305" t="s">
        <v>5723</v>
      </c>
      <c r="F47" s="3306" t="s">
        <v>5538</v>
      </c>
      <c r="G47" s="3306" t="s">
        <v>5724</v>
      </c>
      <c r="H47" s="3305" t="s">
        <v>1960</v>
      </c>
      <c r="I47" s="3306" t="s">
        <v>2833</v>
      </c>
      <c r="J47" s="3307" t="s">
        <v>10</v>
      </c>
      <c r="K47" s="3307" t="s">
        <v>3848</v>
      </c>
    </row>
    <row r="48" spans="1:11">
      <c r="A48" s="3285" t="s">
        <v>5638</v>
      </c>
      <c r="B48" s="3302">
        <v>35</v>
      </c>
      <c r="C48" s="3305">
        <v>230</v>
      </c>
      <c r="D48" s="3305" t="s">
        <v>5725</v>
      </c>
      <c r="E48" s="3305" t="s">
        <v>5726</v>
      </c>
      <c r="F48" s="3306" t="s">
        <v>5538</v>
      </c>
      <c r="G48" s="3306" t="s">
        <v>5727</v>
      </c>
      <c r="H48" s="3305" t="s">
        <v>673</v>
      </c>
      <c r="I48" s="3306" t="s">
        <v>2833</v>
      </c>
      <c r="J48" s="3307" t="s">
        <v>3850</v>
      </c>
      <c r="K48" s="3307" t="s">
        <v>3851</v>
      </c>
    </row>
    <row r="49" spans="1:11">
      <c r="A49" s="3285" t="s">
        <v>5638</v>
      </c>
      <c r="B49" s="3302">
        <v>36</v>
      </c>
      <c r="C49" s="3305">
        <v>231</v>
      </c>
      <c r="D49" s="3305" t="s">
        <v>5728</v>
      </c>
      <c r="E49" s="3305" t="s">
        <v>5729</v>
      </c>
      <c r="F49" s="3306" t="s">
        <v>5538</v>
      </c>
      <c r="G49" s="3306" t="s">
        <v>4760</v>
      </c>
      <c r="H49" s="3305" t="s">
        <v>673</v>
      </c>
      <c r="I49" s="3306" t="s">
        <v>2833</v>
      </c>
      <c r="J49" s="3307" t="s">
        <v>3850</v>
      </c>
      <c r="K49" s="3307" t="s">
        <v>3851</v>
      </c>
    </row>
    <row r="50" spans="1:11">
      <c r="A50" s="3285" t="s">
        <v>5638</v>
      </c>
      <c r="B50" s="3302">
        <v>37</v>
      </c>
      <c r="C50" s="3305">
        <v>232</v>
      </c>
      <c r="D50" s="3305" t="s">
        <v>5730</v>
      </c>
      <c r="E50" s="3305" t="s">
        <v>5731</v>
      </c>
      <c r="F50" s="3306" t="s">
        <v>5538</v>
      </c>
      <c r="G50" s="3306" t="s">
        <v>1802</v>
      </c>
      <c r="H50" s="3305" t="s">
        <v>673</v>
      </c>
      <c r="I50" s="3306" t="s">
        <v>2833</v>
      </c>
      <c r="J50" s="3307" t="s">
        <v>3850</v>
      </c>
      <c r="K50" s="3307" t="s">
        <v>3851</v>
      </c>
    </row>
    <row r="51" spans="1:11">
      <c r="A51" s="3285" t="s">
        <v>5638</v>
      </c>
      <c r="B51" s="3302">
        <v>38</v>
      </c>
      <c r="C51" s="3305">
        <v>233</v>
      </c>
      <c r="D51" s="3305" t="s">
        <v>5732</v>
      </c>
      <c r="E51" s="3305" t="s">
        <v>5733</v>
      </c>
      <c r="F51" s="3306" t="s">
        <v>5538</v>
      </c>
      <c r="G51" s="3306" t="s">
        <v>3775</v>
      </c>
      <c r="H51" s="3305" t="s">
        <v>673</v>
      </c>
      <c r="I51" s="3306" t="s">
        <v>2833</v>
      </c>
      <c r="J51" s="3307" t="s">
        <v>3850</v>
      </c>
      <c r="K51" s="3307" t="s">
        <v>3851</v>
      </c>
    </row>
    <row r="52" spans="1:11">
      <c r="A52" s="3285" t="s">
        <v>5638</v>
      </c>
      <c r="B52" s="3302">
        <v>39</v>
      </c>
      <c r="C52" s="3305">
        <v>234</v>
      </c>
      <c r="D52" s="3305" t="s">
        <v>5734</v>
      </c>
      <c r="E52" s="3305" t="s">
        <v>5735</v>
      </c>
      <c r="F52" s="3306" t="s">
        <v>5538</v>
      </c>
      <c r="G52" s="3306" t="s">
        <v>4031</v>
      </c>
      <c r="H52" s="3305" t="s">
        <v>581</v>
      </c>
      <c r="I52" s="3306" t="s">
        <v>2833</v>
      </c>
      <c r="J52" s="3307" t="s">
        <v>10</v>
      </c>
      <c r="K52" s="3307" t="s">
        <v>3848</v>
      </c>
    </row>
    <row r="53" spans="1:11">
      <c r="A53" s="3285" t="s">
        <v>5638</v>
      </c>
      <c r="B53" s="3302">
        <v>40</v>
      </c>
      <c r="C53" s="3305">
        <v>236</v>
      </c>
      <c r="D53" s="3305" t="s">
        <v>5480</v>
      </c>
      <c r="E53" s="3305" t="s">
        <v>5736</v>
      </c>
      <c r="F53" s="3306" t="s">
        <v>5482</v>
      </c>
      <c r="G53" s="3306" t="s">
        <v>5483</v>
      </c>
      <c r="H53" s="3305" t="s">
        <v>5484</v>
      </c>
      <c r="I53" s="3306" t="s">
        <v>2833</v>
      </c>
      <c r="J53" s="3307" t="s">
        <v>5485</v>
      </c>
      <c r="K53" s="3307" t="s">
        <v>5486</v>
      </c>
    </row>
    <row r="54" spans="1:11">
      <c r="A54" s="3285" t="s">
        <v>5638</v>
      </c>
      <c r="B54" s="3302">
        <v>41</v>
      </c>
      <c r="C54" s="3305">
        <v>237</v>
      </c>
      <c r="D54" s="3305" t="s">
        <v>5516</v>
      </c>
      <c r="E54" s="3305" t="s">
        <v>5737</v>
      </c>
      <c r="F54" s="3306" t="s">
        <v>5482</v>
      </c>
      <c r="G54" s="3306" t="s">
        <v>5518</v>
      </c>
      <c r="H54" s="3305" t="s">
        <v>5484</v>
      </c>
      <c r="I54" s="3306" t="s">
        <v>2833</v>
      </c>
      <c r="J54" s="3307" t="s">
        <v>5519</v>
      </c>
      <c r="K54" s="3307" t="s">
        <v>4651</v>
      </c>
    </row>
    <row r="55" spans="1:11">
      <c r="A55" s="3285" t="s">
        <v>5638</v>
      </c>
      <c r="B55" s="3302">
        <v>42</v>
      </c>
      <c r="C55" s="3305">
        <v>302</v>
      </c>
      <c r="D55" s="3305" t="s">
        <v>5738</v>
      </c>
      <c r="E55" s="3305" t="s">
        <v>5739</v>
      </c>
      <c r="F55" s="3306" t="s">
        <v>5482</v>
      </c>
      <c r="G55" s="3306" t="s">
        <v>956</v>
      </c>
      <c r="H55" s="3305" t="s">
        <v>1788</v>
      </c>
      <c r="I55" s="3306" t="s">
        <v>2833</v>
      </c>
      <c r="J55" s="3307" t="s">
        <v>5740</v>
      </c>
      <c r="K55" s="3307" t="s">
        <v>4317</v>
      </c>
    </row>
    <row r="56" spans="1:11">
      <c r="A56" s="3285" t="s">
        <v>5638</v>
      </c>
      <c r="B56" s="3302">
        <v>43</v>
      </c>
      <c r="C56" s="3305">
        <v>308</v>
      </c>
      <c r="D56" s="3305" t="s">
        <v>5536</v>
      </c>
      <c r="E56" s="3305" t="s">
        <v>5741</v>
      </c>
      <c r="F56" s="3306" t="s">
        <v>5538</v>
      </c>
      <c r="G56" s="3306" t="s">
        <v>5539</v>
      </c>
      <c r="H56" s="3305" t="s">
        <v>1788</v>
      </c>
      <c r="I56" s="3306" t="s">
        <v>2833</v>
      </c>
      <c r="J56" s="3307" t="s">
        <v>5540</v>
      </c>
      <c r="K56" s="3307" t="s">
        <v>5541</v>
      </c>
    </row>
    <row r="57" spans="1:11">
      <c r="A57" s="3285" t="s">
        <v>5638</v>
      </c>
      <c r="B57" s="3302">
        <v>44</v>
      </c>
      <c r="C57" s="3305">
        <v>315</v>
      </c>
      <c r="D57" s="3305" t="s">
        <v>5742</v>
      </c>
      <c r="E57" s="3305" t="s">
        <v>5743</v>
      </c>
      <c r="F57" s="3306" t="s">
        <v>5482</v>
      </c>
      <c r="G57" s="3306" t="s">
        <v>5744</v>
      </c>
      <c r="H57" s="3305" t="s">
        <v>2832</v>
      </c>
      <c r="I57" s="3306" t="s">
        <v>2833</v>
      </c>
      <c r="J57" s="3307" t="s">
        <v>5745</v>
      </c>
      <c r="K57" s="3307" t="s">
        <v>5746</v>
      </c>
    </row>
    <row r="58" spans="1:11">
      <c r="A58" s="3285" t="s">
        <v>5638</v>
      </c>
      <c r="B58" s="3302">
        <v>45</v>
      </c>
      <c r="C58" s="3305">
        <v>324</v>
      </c>
      <c r="D58" s="3305" t="s">
        <v>5747</v>
      </c>
      <c r="E58" s="3305" t="s">
        <v>5748</v>
      </c>
      <c r="F58" s="3306" t="s">
        <v>5482</v>
      </c>
      <c r="G58" s="3306" t="s">
        <v>5749</v>
      </c>
      <c r="H58" s="3305" t="s">
        <v>2832</v>
      </c>
      <c r="I58" s="3306" t="s">
        <v>2833</v>
      </c>
      <c r="J58" s="3307" t="s">
        <v>5750</v>
      </c>
      <c r="K58" s="3307" t="s">
        <v>5751</v>
      </c>
    </row>
    <row r="59" spans="1:11">
      <c r="A59" s="3285" t="s">
        <v>5638</v>
      </c>
      <c r="B59" s="3302">
        <v>46</v>
      </c>
      <c r="C59" s="3305">
        <v>332</v>
      </c>
      <c r="D59" s="3305" t="s">
        <v>5752</v>
      </c>
      <c r="E59" s="3305" t="s">
        <v>5753</v>
      </c>
      <c r="F59" s="3306" t="s">
        <v>5482</v>
      </c>
      <c r="G59" s="3306" t="s">
        <v>1567</v>
      </c>
      <c r="H59" s="3305" t="s">
        <v>1568</v>
      </c>
      <c r="I59" s="3306" t="s">
        <v>2833</v>
      </c>
      <c r="J59" s="3307" t="s">
        <v>5754</v>
      </c>
      <c r="K59" s="3307" t="s">
        <v>5755</v>
      </c>
    </row>
    <row r="60" spans="1:11">
      <c r="A60" s="3285" t="s">
        <v>5638</v>
      </c>
      <c r="B60" s="3302">
        <v>47</v>
      </c>
      <c r="C60" s="3305">
        <v>338</v>
      </c>
      <c r="D60" s="3305" t="s">
        <v>5756</v>
      </c>
      <c r="E60" s="3305" t="s">
        <v>5757</v>
      </c>
      <c r="F60" s="3306" t="s">
        <v>5538</v>
      </c>
      <c r="G60" s="3306" t="s">
        <v>5758</v>
      </c>
      <c r="H60" s="3305" t="s">
        <v>1023</v>
      </c>
      <c r="I60" s="3306" t="s">
        <v>667</v>
      </c>
      <c r="J60" s="3307" t="s">
        <v>1180</v>
      </c>
      <c r="K60" s="3307" t="s">
        <v>1181</v>
      </c>
    </row>
    <row r="61" spans="1:11">
      <c r="A61" s="3285" t="s">
        <v>5638</v>
      </c>
      <c r="B61" s="3302">
        <v>48</v>
      </c>
      <c r="C61" s="3305">
        <v>339</v>
      </c>
      <c r="D61" s="3305" t="s">
        <v>5759</v>
      </c>
      <c r="E61" s="3305" t="s">
        <v>5760</v>
      </c>
      <c r="F61" s="3306" t="s">
        <v>5482</v>
      </c>
      <c r="G61" s="3306" t="s">
        <v>5761</v>
      </c>
      <c r="H61" s="3305" t="s">
        <v>1023</v>
      </c>
      <c r="I61" s="3306" t="s">
        <v>2833</v>
      </c>
      <c r="J61" s="3307" t="s">
        <v>5762</v>
      </c>
      <c r="K61" s="3307" t="s">
        <v>5763</v>
      </c>
    </row>
    <row r="62" spans="1:11">
      <c r="A62" s="3285" t="s">
        <v>5638</v>
      </c>
      <c r="B62" s="3302">
        <v>49</v>
      </c>
      <c r="C62" s="3305">
        <v>342</v>
      </c>
      <c r="D62" s="3305" t="s">
        <v>5764</v>
      </c>
      <c r="E62" s="3305" t="s">
        <v>5765</v>
      </c>
      <c r="F62" s="3306" t="s">
        <v>5482</v>
      </c>
      <c r="G62" s="3306" t="s">
        <v>5766</v>
      </c>
      <c r="H62" s="3305" t="s">
        <v>1023</v>
      </c>
      <c r="I62" s="3306" t="s">
        <v>2833</v>
      </c>
      <c r="J62" s="3307" t="s">
        <v>5767</v>
      </c>
      <c r="K62" s="3307" t="s">
        <v>5768</v>
      </c>
    </row>
    <row r="63" spans="1:11">
      <c r="A63" s="3285" t="s">
        <v>5638</v>
      </c>
      <c r="B63" s="3302">
        <v>50</v>
      </c>
      <c r="C63" s="3305">
        <v>344</v>
      </c>
      <c r="D63" s="3305" t="s">
        <v>5769</v>
      </c>
      <c r="E63" s="3305" t="s">
        <v>5770</v>
      </c>
      <c r="F63" s="3306" t="s">
        <v>5482</v>
      </c>
      <c r="G63" s="3306" t="s">
        <v>5771</v>
      </c>
      <c r="H63" s="3305" t="s">
        <v>1023</v>
      </c>
      <c r="I63" s="3306" t="s">
        <v>2833</v>
      </c>
      <c r="J63" s="3307" t="s">
        <v>5762</v>
      </c>
      <c r="K63" s="3307" t="s">
        <v>5763</v>
      </c>
    </row>
    <row r="64" spans="1:11">
      <c r="A64" s="3285" t="s">
        <v>5638</v>
      </c>
      <c r="B64" s="3302">
        <v>51</v>
      </c>
      <c r="C64" s="3305">
        <v>356</v>
      </c>
      <c r="D64" s="3305" t="s">
        <v>5772</v>
      </c>
      <c r="E64" s="3305" t="s">
        <v>5773</v>
      </c>
      <c r="F64" s="3306" t="s">
        <v>5482</v>
      </c>
      <c r="G64" s="3306" t="s">
        <v>5774</v>
      </c>
      <c r="H64" s="3305" t="s">
        <v>3095</v>
      </c>
      <c r="I64" s="3306" t="s">
        <v>2833</v>
      </c>
      <c r="J64" s="3307" t="s">
        <v>5775</v>
      </c>
      <c r="K64" s="3307" t="s">
        <v>5776</v>
      </c>
    </row>
    <row r="65" spans="1:11">
      <c r="A65" s="3285" t="s">
        <v>5638</v>
      </c>
      <c r="B65" s="3302">
        <v>52</v>
      </c>
      <c r="C65" s="3305">
        <v>357</v>
      </c>
      <c r="D65" s="3305" t="s">
        <v>5559</v>
      </c>
      <c r="E65" s="3305" t="s">
        <v>5777</v>
      </c>
      <c r="F65" s="3306" t="s">
        <v>5482</v>
      </c>
      <c r="G65" s="3306" t="s">
        <v>2810</v>
      </c>
      <c r="H65" s="3305" t="s">
        <v>2811</v>
      </c>
      <c r="I65" s="3306" t="s">
        <v>2833</v>
      </c>
      <c r="J65" s="3307" t="s">
        <v>5560</v>
      </c>
      <c r="K65" s="3307" t="s">
        <v>5561</v>
      </c>
    </row>
    <row r="66" spans="1:11">
      <c r="A66" s="3285" t="s">
        <v>5638</v>
      </c>
      <c r="B66" s="3302">
        <v>53</v>
      </c>
      <c r="C66" s="3305">
        <v>358</v>
      </c>
      <c r="D66" s="3305" t="s">
        <v>5493</v>
      </c>
      <c r="E66" s="3305" t="s">
        <v>5778</v>
      </c>
      <c r="F66" s="3306" t="s">
        <v>5482</v>
      </c>
      <c r="G66" s="3306" t="s">
        <v>5495</v>
      </c>
      <c r="H66" s="3305" t="s">
        <v>3095</v>
      </c>
      <c r="I66" s="3306" t="s">
        <v>2833</v>
      </c>
      <c r="J66" s="3307" t="s">
        <v>10</v>
      </c>
      <c r="K66" s="3307" t="s">
        <v>5496</v>
      </c>
    </row>
    <row r="67" spans="1:11">
      <c r="A67" s="3285" t="s">
        <v>5638</v>
      </c>
      <c r="B67" s="3302">
        <v>54</v>
      </c>
      <c r="C67" s="3305">
        <v>359</v>
      </c>
      <c r="D67" s="3305" t="s">
        <v>5502</v>
      </c>
      <c r="E67" s="3305" t="s">
        <v>5779</v>
      </c>
      <c r="F67" s="3306" t="s">
        <v>5482</v>
      </c>
      <c r="G67" s="3306" t="s">
        <v>5504</v>
      </c>
      <c r="H67" s="3305" t="s">
        <v>5505</v>
      </c>
      <c r="I67" s="3306" t="s">
        <v>2833</v>
      </c>
      <c r="J67" s="3307" t="s">
        <v>5506</v>
      </c>
      <c r="K67" s="3307" t="s">
        <v>5507</v>
      </c>
    </row>
    <row r="68" spans="1:11">
      <c r="A68" s="3285" t="s">
        <v>5638</v>
      </c>
      <c r="B68" s="3302">
        <v>55</v>
      </c>
      <c r="C68" s="3305">
        <v>360</v>
      </c>
      <c r="D68" s="3305" t="s">
        <v>5508</v>
      </c>
      <c r="E68" s="3305" t="s">
        <v>5780</v>
      </c>
      <c r="F68" s="3306" t="s">
        <v>5482</v>
      </c>
      <c r="G68" s="3306" t="s">
        <v>5510</v>
      </c>
      <c r="H68" s="3305" t="s">
        <v>5505</v>
      </c>
      <c r="I68" s="3306" t="s">
        <v>2833</v>
      </c>
      <c r="J68" s="3307" t="s">
        <v>5506</v>
      </c>
      <c r="K68" s="3307" t="s">
        <v>5507</v>
      </c>
    </row>
    <row r="69" spans="1:11">
      <c r="A69" s="3285" t="s">
        <v>5638</v>
      </c>
      <c r="B69" s="3302">
        <v>56</v>
      </c>
      <c r="C69" s="3305">
        <v>361</v>
      </c>
      <c r="D69" s="3305" t="s">
        <v>5525</v>
      </c>
      <c r="E69" s="3305" t="s">
        <v>5781</v>
      </c>
      <c r="F69" s="3306" t="s">
        <v>5482</v>
      </c>
      <c r="G69" s="3306" t="s">
        <v>5527</v>
      </c>
      <c r="H69" s="3305" t="s">
        <v>5491</v>
      </c>
      <c r="I69" s="3306" t="s">
        <v>2833</v>
      </c>
      <c r="J69" s="3307" t="s">
        <v>5523</v>
      </c>
      <c r="K69" s="3307" t="s">
        <v>5524</v>
      </c>
    </row>
    <row r="70" spans="1:11">
      <c r="A70" s="3285" t="s">
        <v>5638</v>
      </c>
      <c r="B70" s="3302">
        <v>57</v>
      </c>
      <c r="C70" s="3305">
        <v>362</v>
      </c>
      <c r="D70" s="3305" t="s">
        <v>5520</v>
      </c>
      <c r="E70" s="3305" t="s">
        <v>5782</v>
      </c>
      <c r="F70" s="3306" t="s">
        <v>5482</v>
      </c>
      <c r="G70" s="3306" t="s">
        <v>5522</v>
      </c>
      <c r="H70" s="3305" t="s">
        <v>5491</v>
      </c>
      <c r="I70" s="3306" t="s">
        <v>2833</v>
      </c>
      <c r="J70" s="3307" t="s">
        <v>5523</v>
      </c>
      <c r="K70" s="3307" t="s">
        <v>5524</v>
      </c>
    </row>
    <row r="71" spans="1:11">
      <c r="A71" s="3285" t="s">
        <v>5638</v>
      </c>
      <c r="B71" s="3302">
        <v>58</v>
      </c>
      <c r="C71" s="3305">
        <v>363</v>
      </c>
      <c r="D71" s="3305" t="s">
        <v>5528</v>
      </c>
      <c r="E71" s="3305" t="s">
        <v>5783</v>
      </c>
      <c r="F71" s="3306" t="s">
        <v>5482</v>
      </c>
      <c r="G71" s="3306" t="s">
        <v>5530</v>
      </c>
      <c r="H71" s="3305" t="s">
        <v>5505</v>
      </c>
      <c r="I71" s="3306" t="s">
        <v>2833</v>
      </c>
      <c r="J71" s="3307" t="s">
        <v>5506</v>
      </c>
      <c r="K71" s="3307" t="s">
        <v>5507</v>
      </c>
    </row>
    <row r="72" spans="1:11">
      <c r="A72" s="3285" t="s">
        <v>5638</v>
      </c>
      <c r="B72" s="3302">
        <v>59</v>
      </c>
      <c r="C72" s="3305">
        <v>401</v>
      </c>
      <c r="D72" s="3305" t="s">
        <v>5497</v>
      </c>
      <c r="E72" s="3305" t="s">
        <v>5784</v>
      </c>
      <c r="F72" s="3306" t="s">
        <v>5482</v>
      </c>
      <c r="G72" s="3306" t="s">
        <v>5499</v>
      </c>
      <c r="H72" s="3305" t="s">
        <v>755</v>
      </c>
      <c r="I72" s="3306" t="s">
        <v>2833</v>
      </c>
      <c r="J72" s="3307" t="s">
        <v>5785</v>
      </c>
      <c r="K72" s="3307" t="s">
        <v>5786</v>
      </c>
    </row>
    <row r="73" spans="1:11">
      <c r="A73" s="3285" t="s">
        <v>5638</v>
      </c>
      <c r="B73" s="3302">
        <v>60</v>
      </c>
      <c r="C73" s="3305">
        <v>402</v>
      </c>
      <c r="D73" s="3305" t="s">
        <v>5531</v>
      </c>
      <c r="E73" s="3305" t="s">
        <v>5787</v>
      </c>
      <c r="F73" s="3306" t="s">
        <v>5482</v>
      </c>
      <c r="G73" s="3306" t="s">
        <v>5533</v>
      </c>
      <c r="H73" s="3305" t="s">
        <v>5505</v>
      </c>
      <c r="I73" s="3306" t="s">
        <v>2833</v>
      </c>
      <c r="J73" s="3307" t="s">
        <v>5534</v>
      </c>
      <c r="K73" s="3307" t="s">
        <v>5535</v>
      </c>
    </row>
    <row r="74" spans="1:11" ht="15.75" thickBot="1">
      <c r="A74" s="3285" t="s">
        <v>5638</v>
      </c>
      <c r="B74" s="3302">
        <v>61</v>
      </c>
      <c r="C74" s="3305">
        <v>403</v>
      </c>
      <c r="D74" s="3305" t="s">
        <v>5788</v>
      </c>
      <c r="E74" s="3305">
        <v>151842421</v>
      </c>
      <c r="F74" s="3306" t="s">
        <v>5482</v>
      </c>
      <c r="G74" s="3306" t="s">
        <v>5789</v>
      </c>
      <c r="H74" s="3305">
        <v>2018</v>
      </c>
      <c r="I74" s="3306" t="s">
        <v>2833</v>
      </c>
      <c r="J74" s="3307">
        <v>32000</v>
      </c>
      <c r="K74" s="3307">
        <v>5500</v>
      </c>
    </row>
    <row r="75" spans="1:11" ht="15.75" thickBot="1">
      <c r="B75" s="3299" t="s">
        <v>5478</v>
      </c>
      <c r="C75" s="3300" t="s">
        <v>3511</v>
      </c>
      <c r="D75" s="3300" t="s">
        <v>3591</v>
      </c>
      <c r="E75" s="3300" t="s">
        <v>2757</v>
      </c>
      <c r="F75" s="3300" t="s">
        <v>5479</v>
      </c>
      <c r="G75" s="3300" t="s">
        <v>4319</v>
      </c>
      <c r="H75" s="3300" t="s">
        <v>4320</v>
      </c>
      <c r="I75" s="3300" t="s">
        <v>4321</v>
      </c>
      <c r="J75" s="3300" t="s">
        <v>1520</v>
      </c>
      <c r="K75" s="3301" t="s">
        <v>4070</v>
      </c>
    </row>
    <row r="76" spans="1:11">
      <c r="A76" s="3285" t="s">
        <v>5790</v>
      </c>
      <c r="B76" s="3305">
        <v>62</v>
      </c>
      <c r="C76" s="3315">
        <v>106</v>
      </c>
      <c r="D76" s="3315" t="s">
        <v>1943</v>
      </c>
      <c r="E76" s="3316" t="s">
        <v>567</v>
      </c>
      <c r="F76" s="3317"/>
      <c r="G76" s="3317" t="s">
        <v>3628</v>
      </c>
      <c r="H76" s="3316" t="s">
        <v>2832</v>
      </c>
      <c r="I76" s="3317" t="s">
        <v>2833</v>
      </c>
      <c r="J76" s="3318" t="s">
        <v>4260</v>
      </c>
      <c r="K76" s="3318" t="s">
        <v>4261</v>
      </c>
    </row>
    <row r="77" spans="1:11">
      <c r="A77" s="3285" t="s">
        <v>5790</v>
      </c>
      <c r="B77" s="3305">
        <v>63</v>
      </c>
      <c r="C77" s="3315">
        <v>108</v>
      </c>
      <c r="D77" s="3315" t="s">
        <v>3630</v>
      </c>
      <c r="E77" s="3316" t="s">
        <v>568</v>
      </c>
      <c r="F77" s="3317"/>
      <c r="G77" s="3317" t="s">
        <v>4555</v>
      </c>
      <c r="H77" s="3316" t="s">
        <v>2832</v>
      </c>
      <c r="I77" s="3317" t="s">
        <v>2833</v>
      </c>
      <c r="J77" s="3318" t="s">
        <v>4260</v>
      </c>
      <c r="K77" s="3318" t="s">
        <v>4261</v>
      </c>
    </row>
    <row r="78" spans="1:11">
      <c r="A78" s="3319"/>
      <c r="B78" s="3305"/>
      <c r="C78" s="3320">
        <v>119</v>
      </c>
      <c r="D78" s="3321" t="s">
        <v>4384</v>
      </c>
      <c r="E78" s="3321" t="s">
        <v>4423</v>
      </c>
      <c r="F78" s="3322"/>
      <c r="G78" s="3322" t="s">
        <v>4386</v>
      </c>
      <c r="H78" s="3321" t="s">
        <v>1201</v>
      </c>
      <c r="I78" s="3322" t="s">
        <v>2833</v>
      </c>
      <c r="J78" s="3323" t="s">
        <v>4260</v>
      </c>
      <c r="K78" s="3323" t="s">
        <v>4262</v>
      </c>
    </row>
    <row r="79" spans="1:11">
      <c r="A79" s="3285" t="s">
        <v>5790</v>
      </c>
      <c r="B79" s="3305">
        <v>64</v>
      </c>
      <c r="C79" s="3315">
        <v>151</v>
      </c>
      <c r="D79" s="3315" t="s">
        <v>300</v>
      </c>
      <c r="E79" s="3316" t="s">
        <v>4005</v>
      </c>
      <c r="F79" s="3317"/>
      <c r="G79" s="3317" t="s">
        <v>302</v>
      </c>
      <c r="H79" s="3316" t="s">
        <v>3268</v>
      </c>
      <c r="I79" s="3317" t="s">
        <v>2833</v>
      </c>
      <c r="J79" s="3318" t="s">
        <v>4260</v>
      </c>
      <c r="K79" s="3318" t="s">
        <v>4698</v>
      </c>
    </row>
    <row r="80" spans="1:11">
      <c r="A80" s="3285" t="s">
        <v>5790</v>
      </c>
      <c r="B80" s="3305">
        <v>65</v>
      </c>
      <c r="C80" s="3315">
        <v>155</v>
      </c>
      <c r="D80" s="3315" t="s">
        <v>1141</v>
      </c>
      <c r="E80" s="3316" t="s">
        <v>3787</v>
      </c>
      <c r="F80" s="3317"/>
      <c r="G80" s="3317" t="s">
        <v>4157</v>
      </c>
      <c r="H80" s="3316" t="s">
        <v>3268</v>
      </c>
      <c r="I80" s="3317" t="s">
        <v>2833</v>
      </c>
      <c r="J80" s="3318" t="s">
        <v>4260</v>
      </c>
      <c r="K80" s="3318" t="s">
        <v>4697</v>
      </c>
    </row>
    <row r="81" spans="1:11">
      <c r="A81" s="3285" t="s">
        <v>5790</v>
      </c>
      <c r="B81" s="3305">
        <v>66</v>
      </c>
      <c r="C81" s="3315">
        <v>157</v>
      </c>
      <c r="D81" s="3315" t="s">
        <v>3607</v>
      </c>
      <c r="E81" s="3316" t="s">
        <v>3266</v>
      </c>
      <c r="F81" s="3317"/>
      <c r="G81" s="3317" t="s">
        <v>1895</v>
      </c>
      <c r="H81" s="3316" t="s">
        <v>3268</v>
      </c>
      <c r="I81" s="3317" t="s">
        <v>2833</v>
      </c>
      <c r="J81" s="3318" t="s">
        <v>4260</v>
      </c>
      <c r="K81" s="3318" t="s">
        <v>4700</v>
      </c>
    </row>
    <row r="82" spans="1:11">
      <c r="A82" s="3285" t="s">
        <v>5790</v>
      </c>
      <c r="B82" s="3305">
        <v>67</v>
      </c>
      <c r="C82" s="3315">
        <v>201</v>
      </c>
      <c r="D82" s="3315" t="s">
        <v>3192</v>
      </c>
      <c r="E82" s="3316" t="s">
        <v>1083</v>
      </c>
      <c r="F82" s="3317"/>
      <c r="G82" s="3317" t="s">
        <v>3194</v>
      </c>
      <c r="H82" s="3316" t="s">
        <v>4567</v>
      </c>
      <c r="I82" s="3317" t="s">
        <v>667</v>
      </c>
      <c r="J82" s="3318" t="s">
        <v>10</v>
      </c>
      <c r="K82" s="3318" t="s">
        <v>2086</v>
      </c>
    </row>
    <row r="83" spans="1:11">
      <c r="A83" s="3285" t="s">
        <v>5790</v>
      </c>
      <c r="B83" s="3305">
        <v>68</v>
      </c>
      <c r="C83" s="3315">
        <v>204</v>
      </c>
      <c r="D83" s="3315" t="s">
        <v>1841</v>
      </c>
      <c r="E83" s="3316" t="s">
        <v>2244</v>
      </c>
      <c r="F83" s="3317"/>
      <c r="G83" s="3317" t="s">
        <v>2972</v>
      </c>
      <c r="H83" s="3316" t="s">
        <v>755</v>
      </c>
      <c r="I83" s="3317" t="s">
        <v>2833</v>
      </c>
      <c r="J83" s="3318" t="s">
        <v>2084</v>
      </c>
      <c r="K83" s="3318" t="s">
        <v>2085</v>
      </c>
    </row>
    <row r="84" spans="1:11">
      <c r="A84" s="3285" t="s">
        <v>5790</v>
      </c>
      <c r="B84" s="3305">
        <v>69</v>
      </c>
      <c r="C84" s="3315">
        <v>207</v>
      </c>
      <c r="D84" s="3315" t="s">
        <v>1090</v>
      </c>
      <c r="E84" s="3316" t="s">
        <v>4648</v>
      </c>
      <c r="F84" s="3317"/>
      <c r="G84" s="3317" t="s">
        <v>2352</v>
      </c>
      <c r="H84" s="3316" t="s">
        <v>755</v>
      </c>
      <c r="I84" s="3317" t="s">
        <v>2833</v>
      </c>
      <c r="J84" s="3318" t="s">
        <v>2084</v>
      </c>
      <c r="K84" s="3318" t="s">
        <v>2085</v>
      </c>
    </row>
    <row r="85" spans="1:11">
      <c r="A85" s="3285" t="s">
        <v>5790</v>
      </c>
      <c r="B85" s="3305">
        <v>70</v>
      </c>
      <c r="C85" s="3315">
        <v>209</v>
      </c>
      <c r="D85" s="3315" t="s">
        <v>3027</v>
      </c>
      <c r="E85" s="3316" t="s">
        <v>514</v>
      </c>
      <c r="F85" s="3317"/>
      <c r="G85" s="3317" t="s">
        <v>3561</v>
      </c>
      <c r="H85" s="3316" t="s">
        <v>755</v>
      </c>
      <c r="I85" s="3317" t="s">
        <v>2833</v>
      </c>
      <c r="J85" s="3318" t="s">
        <v>2084</v>
      </c>
      <c r="K85" s="3318" t="s">
        <v>2085</v>
      </c>
    </row>
    <row r="86" spans="1:11">
      <c r="A86" s="3285" t="s">
        <v>5790</v>
      </c>
      <c r="B86" s="3324">
        <v>71</v>
      </c>
      <c r="C86" s="3320">
        <v>217</v>
      </c>
      <c r="D86" s="3321" t="s">
        <v>3837</v>
      </c>
      <c r="E86" s="3321" t="s">
        <v>4917</v>
      </c>
      <c r="F86" s="3322"/>
      <c r="G86" s="3322" t="s">
        <v>2699</v>
      </c>
      <c r="H86" s="3321" t="s">
        <v>4567</v>
      </c>
      <c r="I86" s="3322" t="s">
        <v>667</v>
      </c>
      <c r="J86" s="3323" t="s">
        <v>2069</v>
      </c>
      <c r="K86" s="3323" t="s">
        <v>2070</v>
      </c>
    </row>
    <row r="87" spans="1:11">
      <c r="A87" s="3285" t="s">
        <v>5790</v>
      </c>
      <c r="B87" s="3305">
        <v>72</v>
      </c>
      <c r="C87" s="3315">
        <v>220</v>
      </c>
      <c r="D87" s="3315" t="s">
        <v>471</v>
      </c>
      <c r="E87" s="3316" t="s">
        <v>3393</v>
      </c>
      <c r="F87" s="3317"/>
      <c r="G87" s="3317" t="s">
        <v>661</v>
      </c>
      <c r="H87" s="3316" t="s">
        <v>755</v>
      </c>
      <c r="I87" s="3317" t="s">
        <v>2833</v>
      </c>
      <c r="J87" s="3318" t="s">
        <v>882</v>
      </c>
      <c r="K87" s="3318" t="s">
        <v>3278</v>
      </c>
    </row>
    <row r="88" spans="1:11">
      <c r="A88" s="3285" t="s">
        <v>5790</v>
      </c>
      <c r="B88" s="3305">
        <v>73</v>
      </c>
      <c r="C88" s="3315">
        <v>221</v>
      </c>
      <c r="D88" s="3315" t="s">
        <v>1360</v>
      </c>
      <c r="E88" s="3316" t="s">
        <v>3296</v>
      </c>
      <c r="F88" s="3317"/>
      <c r="G88" s="3317" t="s">
        <v>1361</v>
      </c>
      <c r="H88" s="3316" t="s">
        <v>755</v>
      </c>
      <c r="I88" s="3317" t="s">
        <v>2833</v>
      </c>
      <c r="J88" s="3318" t="s">
        <v>2084</v>
      </c>
      <c r="K88" s="3318" t="s">
        <v>2085</v>
      </c>
    </row>
    <row r="89" spans="1:11">
      <c r="A89" s="3285" t="s">
        <v>5790</v>
      </c>
      <c r="B89" s="3305">
        <v>74</v>
      </c>
      <c r="C89" s="3315">
        <v>225</v>
      </c>
      <c r="D89" s="3315" t="s">
        <v>499</v>
      </c>
      <c r="E89" s="3316" t="s">
        <v>4224</v>
      </c>
      <c r="F89" s="3317"/>
      <c r="G89" s="3317" t="s">
        <v>4083</v>
      </c>
      <c r="H89" s="3316" t="s">
        <v>3095</v>
      </c>
      <c r="I89" s="3317" t="s">
        <v>667</v>
      </c>
      <c r="J89" s="3318" t="s">
        <v>10</v>
      </c>
      <c r="K89" s="3318" t="s">
        <v>3845</v>
      </c>
    </row>
    <row r="90" spans="1:11">
      <c r="A90" s="3285" t="s">
        <v>5790</v>
      </c>
      <c r="B90" s="3305">
        <v>75</v>
      </c>
      <c r="C90" s="3315">
        <v>226</v>
      </c>
      <c r="D90" s="3315" t="s">
        <v>2796</v>
      </c>
      <c r="E90" s="3316" t="s">
        <v>3465</v>
      </c>
      <c r="F90" s="3317"/>
      <c r="G90" s="3317" t="s">
        <v>3245</v>
      </c>
      <c r="H90" s="3316" t="s">
        <v>3095</v>
      </c>
      <c r="I90" s="3317" t="s">
        <v>2833</v>
      </c>
      <c r="J90" s="3318" t="s">
        <v>10</v>
      </c>
      <c r="K90" s="3318" t="s">
        <v>3848</v>
      </c>
    </row>
    <row r="91" spans="1:11">
      <c r="A91" s="3285" t="s">
        <v>5790</v>
      </c>
      <c r="B91" s="3305">
        <v>76</v>
      </c>
      <c r="C91" s="3315">
        <v>227</v>
      </c>
      <c r="D91" s="3315" t="s">
        <v>3248</v>
      </c>
      <c r="E91" s="3316" t="s">
        <v>1213</v>
      </c>
      <c r="F91" s="3317"/>
      <c r="G91" s="3317" t="s">
        <v>1959</v>
      </c>
      <c r="H91" s="3316" t="s">
        <v>1960</v>
      </c>
      <c r="I91" s="3317" t="s">
        <v>2833</v>
      </c>
      <c r="J91" s="3318" t="s">
        <v>10</v>
      </c>
      <c r="K91" s="3318" t="s">
        <v>3848</v>
      </c>
    </row>
    <row r="92" spans="1:11">
      <c r="A92" s="3285" t="s">
        <v>5790</v>
      </c>
      <c r="B92" s="3305">
        <v>77</v>
      </c>
      <c r="C92" s="3315">
        <v>228</v>
      </c>
      <c r="D92" s="3315" t="s">
        <v>1685</v>
      </c>
      <c r="E92" s="3316" t="s">
        <v>1214</v>
      </c>
      <c r="F92" s="3317"/>
      <c r="G92" s="3317" t="s">
        <v>2877</v>
      </c>
      <c r="H92" s="3316" t="s">
        <v>3095</v>
      </c>
      <c r="I92" s="3317" t="s">
        <v>667</v>
      </c>
      <c r="J92" s="3318" t="s">
        <v>10</v>
      </c>
      <c r="K92" s="3318" t="s">
        <v>3849</v>
      </c>
    </row>
    <row r="93" spans="1:11">
      <c r="A93" s="3285" t="s">
        <v>5790</v>
      </c>
      <c r="B93" s="3305">
        <v>78</v>
      </c>
      <c r="C93" s="3315">
        <v>235</v>
      </c>
      <c r="D93" s="3315" t="s">
        <v>4021</v>
      </c>
      <c r="E93" s="3316" t="s">
        <v>4856</v>
      </c>
      <c r="F93" s="3317"/>
      <c r="G93" s="3317" t="s">
        <v>4249</v>
      </c>
      <c r="H93" s="3316" t="s">
        <v>581</v>
      </c>
      <c r="I93" s="3317" t="s">
        <v>667</v>
      </c>
      <c r="J93" s="3318" t="s">
        <v>10</v>
      </c>
      <c r="K93" s="3318" t="s">
        <v>3852</v>
      </c>
    </row>
    <row r="94" spans="1:11">
      <c r="A94" s="3285" t="s">
        <v>5790</v>
      </c>
      <c r="B94" s="3305">
        <v>79</v>
      </c>
      <c r="C94" s="3315">
        <v>343</v>
      </c>
      <c r="D94" s="3315" t="s">
        <v>2124</v>
      </c>
      <c r="E94" s="3316" t="s">
        <v>3390</v>
      </c>
      <c r="F94" s="3317"/>
      <c r="G94" s="3317" t="s">
        <v>613</v>
      </c>
      <c r="H94" s="3316" t="s">
        <v>1023</v>
      </c>
      <c r="I94" s="3317" t="s">
        <v>667</v>
      </c>
      <c r="J94" s="3318" t="s">
        <v>1180</v>
      </c>
      <c r="K94" s="3318" t="s">
        <v>1182</v>
      </c>
    </row>
  </sheetData>
  <mergeCells count="4">
    <mergeCell ref="F3:G3"/>
    <mergeCell ref="F4:K5"/>
    <mergeCell ref="D11:E11"/>
    <mergeCell ref="F11:G11"/>
  </mergeCells>
  <pageMargins left="0.7" right="0.7" top="0.75" bottom="0.75" header="0.3" footer="0.3"/>
  <pageSetup orientation="portrait" horizontalDpi="120" verticalDpi="72" r:id="rId1"/>
</worksheet>
</file>

<file path=xl/worksheets/sheet9.xml><?xml version="1.0" encoding="utf-8"?>
<worksheet xmlns="http://schemas.openxmlformats.org/spreadsheetml/2006/main" xmlns:r="http://schemas.openxmlformats.org/officeDocument/2006/relationships">
  <sheetPr codeName="Hoja4">
    <pageSetUpPr fitToPage="1"/>
  </sheetPr>
  <dimension ref="B2:V92"/>
  <sheetViews>
    <sheetView zoomScale="85" zoomScaleNormal="85" workbookViewId="0">
      <selection activeCell="A47" sqref="A47"/>
    </sheetView>
  </sheetViews>
  <sheetFormatPr baseColWidth="10" defaultRowHeight="12.75"/>
  <cols>
    <col min="1" max="1" width="3.7109375" customWidth="1"/>
    <col min="2" max="2" width="4.7109375" customWidth="1"/>
    <col min="3" max="3" width="5.7109375" bestFit="1" customWidth="1"/>
    <col min="4" max="4" width="11" customWidth="1"/>
    <col min="5" max="5" width="12.42578125" customWidth="1"/>
    <col min="6" max="6" width="7.5703125" style="3217" bestFit="1" customWidth="1"/>
    <col min="7" max="7" width="24.85546875" customWidth="1"/>
    <col min="8" max="8" width="9" style="3217" bestFit="1" customWidth="1"/>
    <col min="9" max="9" width="6.140625" style="3217" bestFit="1" customWidth="1"/>
    <col min="10" max="10" width="8.5703125" bestFit="1" customWidth="1"/>
    <col min="11" max="11" width="9.140625" bestFit="1" customWidth="1"/>
    <col min="12" max="13" width="4.7109375" customWidth="1"/>
    <col min="14" max="14" width="5.7109375" bestFit="1" customWidth="1"/>
    <col min="15" max="15" width="11" customWidth="1"/>
    <col min="16" max="16" width="12.42578125" customWidth="1"/>
    <col min="17" max="17" width="7.5703125" style="3217" bestFit="1" customWidth="1"/>
    <col min="18" max="18" width="24.85546875" customWidth="1"/>
    <col min="19" max="19" width="9" style="3217" bestFit="1" customWidth="1"/>
    <col min="20" max="20" width="6.140625" style="3217" bestFit="1" customWidth="1"/>
    <col min="21" max="21" width="8.5703125" bestFit="1" customWidth="1"/>
    <col min="22" max="22" width="9.140625" bestFit="1" customWidth="1"/>
    <col min="23" max="23" width="4.28515625" bestFit="1" customWidth="1"/>
    <col min="24" max="24" width="9.7109375" bestFit="1" customWidth="1"/>
    <col min="25" max="25" width="12.28515625" bestFit="1" customWidth="1"/>
    <col min="26" max="26" width="8.140625" customWidth="1"/>
    <col min="27" max="27" width="24.42578125" bestFit="1" customWidth="1"/>
    <col min="28" max="28" width="12.7109375" bestFit="1" customWidth="1"/>
    <col min="29" max="29" width="6" bestFit="1" customWidth="1"/>
    <col min="30" max="30" width="8.5703125" bestFit="1" customWidth="1"/>
    <col min="31" max="31" width="9" bestFit="1" customWidth="1"/>
  </cols>
  <sheetData>
    <row r="2" spans="2:22">
      <c r="G2" s="2135" t="s">
        <v>5477</v>
      </c>
      <c r="H2" s="3225"/>
      <c r="R2" s="2135" t="s">
        <v>5477</v>
      </c>
      <c r="S2" s="3225"/>
    </row>
    <row r="3" spans="2:22">
      <c r="B3" s="8"/>
      <c r="C3" s="8"/>
      <c r="M3" s="3217"/>
      <c r="N3" s="3217"/>
    </row>
    <row r="4" spans="2:22">
      <c r="B4" s="1055" t="s">
        <v>4403</v>
      </c>
      <c r="C4" s="1055"/>
      <c r="D4" s="451"/>
      <c r="M4" s="1055" t="s">
        <v>4403</v>
      </c>
      <c r="N4" s="1055"/>
      <c r="O4" s="2524"/>
    </row>
    <row r="5" spans="2:22">
      <c r="D5" s="1050" t="s">
        <v>5463</v>
      </c>
      <c r="G5" s="1051" t="s">
        <v>5476</v>
      </c>
      <c r="O5" s="1050" t="s">
        <v>5463</v>
      </c>
      <c r="R5" t="s">
        <v>5549</v>
      </c>
    </row>
    <row r="6" spans="2:22">
      <c r="D6" s="1050" t="s">
        <v>5464</v>
      </c>
      <c r="G6" s="1053">
        <v>20492292592</v>
      </c>
      <c r="O6" s="1050" t="s">
        <v>5464</v>
      </c>
      <c r="R6">
        <v>20492292592</v>
      </c>
    </row>
    <row r="7" spans="2:22" s="3226" customFormat="1" ht="25.5" customHeight="1">
      <c r="D7" s="3228" t="s">
        <v>2484</v>
      </c>
      <c r="F7" s="3227"/>
      <c r="G7" s="3824" t="s">
        <v>5465</v>
      </c>
      <c r="H7" s="3824"/>
      <c r="I7" s="3824"/>
      <c r="J7" s="3824"/>
      <c r="K7" s="3824"/>
      <c r="O7" s="3228" t="s">
        <v>2484</v>
      </c>
      <c r="Q7" s="3227"/>
      <c r="R7" s="3825" t="s">
        <v>5465</v>
      </c>
      <c r="S7" s="3825"/>
      <c r="T7" s="3825"/>
      <c r="U7" s="3825"/>
      <c r="V7" s="3825"/>
    </row>
    <row r="8" spans="2:22">
      <c r="D8" s="1050" t="s">
        <v>5466</v>
      </c>
      <c r="G8" s="453"/>
      <c r="O8" s="1050" t="s">
        <v>5466</v>
      </c>
    </row>
    <row r="9" spans="2:22">
      <c r="D9" s="1050" t="s">
        <v>5467</v>
      </c>
      <c r="G9" s="453" t="s">
        <v>5468</v>
      </c>
      <c r="O9" s="1050" t="s">
        <v>5467</v>
      </c>
      <c r="R9" t="s">
        <v>5468</v>
      </c>
    </row>
    <row r="10" spans="2:22">
      <c r="D10" s="1050" t="s">
        <v>5469</v>
      </c>
      <c r="G10" s="1051" t="s">
        <v>5470</v>
      </c>
      <c r="O10" s="1050" t="s">
        <v>5469</v>
      </c>
      <c r="R10" t="s">
        <v>5470</v>
      </c>
    </row>
    <row r="11" spans="2:22" ht="15">
      <c r="D11" s="1050" t="s">
        <v>5471</v>
      </c>
      <c r="G11" s="3230" t="s">
        <v>5472</v>
      </c>
      <c r="O11" s="1050" t="s">
        <v>5471</v>
      </c>
      <c r="Q11" s="2999" t="s">
        <v>5550</v>
      </c>
      <c r="R11" s="2691"/>
      <c r="S11" s="2691"/>
      <c r="T11" s="2691"/>
      <c r="U11" s="3229"/>
      <c r="V11" s="3229"/>
    </row>
    <row r="12" spans="2:22">
      <c r="D12" s="1050" t="s">
        <v>5473</v>
      </c>
      <c r="G12" s="1051" t="s">
        <v>5474</v>
      </c>
      <c r="O12" s="1050" t="s">
        <v>5473</v>
      </c>
      <c r="R12" t="s">
        <v>5474</v>
      </c>
    </row>
    <row r="13" spans="2:22" ht="15">
      <c r="D13" s="1050" t="s">
        <v>5475</v>
      </c>
      <c r="G13" s="3245">
        <v>43409</v>
      </c>
      <c r="O13" s="1050" t="s">
        <v>5475</v>
      </c>
      <c r="R13" s="3245">
        <v>44446</v>
      </c>
    </row>
    <row r="14" spans="2:22">
      <c r="D14" s="1050"/>
      <c r="G14" s="1051"/>
      <c r="O14" s="1050"/>
      <c r="R14" s="1051"/>
    </row>
    <row r="15" spans="2:22" ht="22.5">
      <c r="B15" s="3218" t="s">
        <v>5478</v>
      </c>
      <c r="C15" s="3223" t="s">
        <v>1364</v>
      </c>
      <c r="D15" s="3218" t="s">
        <v>3591</v>
      </c>
      <c r="E15" s="3218" t="s">
        <v>2757</v>
      </c>
      <c r="F15" s="3218" t="s">
        <v>5479</v>
      </c>
      <c r="G15" s="3218" t="s">
        <v>4319</v>
      </c>
      <c r="H15" s="3218" t="s">
        <v>4320</v>
      </c>
      <c r="I15" s="3218" t="s">
        <v>4321</v>
      </c>
      <c r="J15" s="3218" t="s">
        <v>1520</v>
      </c>
      <c r="K15" s="3218" t="s">
        <v>4070</v>
      </c>
      <c r="M15" s="3218" t="s">
        <v>5478</v>
      </c>
      <c r="N15" s="3231" t="s">
        <v>1364</v>
      </c>
      <c r="O15" s="3232" t="s">
        <v>3591</v>
      </c>
      <c r="P15" s="3232" t="s">
        <v>2757</v>
      </c>
      <c r="Q15" s="3232" t="s">
        <v>5479</v>
      </c>
      <c r="R15" s="3232" t="s">
        <v>4319</v>
      </c>
      <c r="S15" s="3232" t="s">
        <v>4320</v>
      </c>
      <c r="T15" s="3232" t="s">
        <v>4321</v>
      </c>
      <c r="U15" s="3232" t="s">
        <v>1520</v>
      </c>
      <c r="V15" s="3232" t="s">
        <v>4070</v>
      </c>
    </row>
    <row r="16" spans="2:22" ht="14.25">
      <c r="B16" s="3220" t="s">
        <v>2094</v>
      </c>
      <c r="C16" s="3224">
        <v>101</v>
      </c>
      <c r="D16" s="3219" t="s">
        <v>4685</v>
      </c>
      <c r="E16" s="3219" t="s">
        <v>967</v>
      </c>
      <c r="F16" s="3220"/>
      <c r="G16" s="3219" t="s">
        <v>1787</v>
      </c>
      <c r="H16" s="3220" t="s">
        <v>1788</v>
      </c>
      <c r="I16" s="3220" t="s">
        <v>2833</v>
      </c>
      <c r="J16" s="3221" t="s">
        <v>4260</v>
      </c>
      <c r="K16" s="3221" t="s">
        <v>8</v>
      </c>
      <c r="M16" s="3238" t="s">
        <v>2094</v>
      </c>
      <c r="N16" s="3238">
        <v>171</v>
      </c>
      <c r="O16" s="3237" t="s">
        <v>5487</v>
      </c>
      <c r="P16" s="3237" t="s">
        <v>5488</v>
      </c>
      <c r="Q16" s="3237" t="s">
        <v>5489</v>
      </c>
      <c r="R16" s="3237" t="s">
        <v>5490</v>
      </c>
      <c r="S16" s="3238" t="s">
        <v>5491</v>
      </c>
      <c r="T16" s="3237" t="s">
        <v>2833</v>
      </c>
      <c r="U16" s="3239" t="s">
        <v>5492</v>
      </c>
      <c r="V16" s="3239" t="s">
        <v>1179</v>
      </c>
    </row>
    <row r="17" spans="2:22" ht="14.25">
      <c r="B17" s="3220" t="s">
        <v>667</v>
      </c>
      <c r="C17" s="3224">
        <v>105</v>
      </c>
      <c r="D17" s="3219" t="s">
        <v>5542</v>
      </c>
      <c r="E17" s="3219" t="s">
        <v>5543</v>
      </c>
      <c r="F17" s="3220" t="s">
        <v>5489</v>
      </c>
      <c r="G17" s="3219" t="s">
        <v>2522</v>
      </c>
      <c r="H17" s="3220" t="s">
        <v>2832</v>
      </c>
      <c r="I17" s="3220" t="s">
        <v>2833</v>
      </c>
      <c r="J17" s="3221" t="s">
        <v>5544</v>
      </c>
      <c r="K17" s="3221" t="s">
        <v>4261</v>
      </c>
      <c r="M17" s="3238" t="s">
        <v>667</v>
      </c>
      <c r="N17" s="3238">
        <v>172</v>
      </c>
      <c r="O17" s="3237" t="s">
        <v>5511</v>
      </c>
      <c r="P17" s="3237" t="s">
        <v>5512</v>
      </c>
      <c r="Q17" s="3237" t="s">
        <v>5489</v>
      </c>
      <c r="R17" s="3237" t="s">
        <v>5513</v>
      </c>
      <c r="S17" s="3238" t="s">
        <v>2811</v>
      </c>
      <c r="T17" s="3237" t="s">
        <v>2833</v>
      </c>
      <c r="U17" s="3239" t="s">
        <v>5514</v>
      </c>
      <c r="V17" s="3239" t="s">
        <v>5515</v>
      </c>
    </row>
    <row r="18" spans="2:22" ht="14.25">
      <c r="B18" s="3220" t="s">
        <v>2833</v>
      </c>
      <c r="C18" s="3224">
        <v>106</v>
      </c>
      <c r="D18" s="3219" t="s">
        <v>1943</v>
      </c>
      <c r="E18" s="3219" t="s">
        <v>567</v>
      </c>
      <c r="F18" s="3220"/>
      <c r="G18" s="3219" t="s">
        <v>3628</v>
      </c>
      <c r="H18" s="3220" t="s">
        <v>2832</v>
      </c>
      <c r="I18" s="3220" t="s">
        <v>2833</v>
      </c>
      <c r="J18" s="3221" t="s">
        <v>4260</v>
      </c>
      <c r="K18" s="3221" t="s">
        <v>4261</v>
      </c>
      <c r="M18" s="3238" t="s">
        <v>2833</v>
      </c>
      <c r="N18" s="3238">
        <v>173</v>
      </c>
      <c r="O18" s="3237" t="s">
        <v>5555</v>
      </c>
      <c r="P18" s="3237"/>
      <c r="Q18" s="3237" t="s">
        <v>5489</v>
      </c>
      <c r="R18" s="3237" t="s">
        <v>5556</v>
      </c>
      <c r="S18" s="3238" t="s">
        <v>2811</v>
      </c>
      <c r="T18" s="3237" t="s">
        <v>2833</v>
      </c>
      <c r="U18" s="3239" t="s">
        <v>5557</v>
      </c>
      <c r="V18" s="3239" t="s">
        <v>5558</v>
      </c>
    </row>
    <row r="19" spans="2:22" ht="14.25">
      <c r="B19" s="3220" t="s">
        <v>1962</v>
      </c>
      <c r="C19" s="3224">
        <v>108</v>
      </c>
      <c r="D19" s="3219" t="s">
        <v>3630</v>
      </c>
      <c r="E19" s="3219" t="s">
        <v>568</v>
      </c>
      <c r="F19" s="3220"/>
      <c r="G19" s="3219" t="s">
        <v>4555</v>
      </c>
      <c r="H19" s="3220" t="s">
        <v>2832</v>
      </c>
      <c r="I19" s="3220" t="s">
        <v>2833</v>
      </c>
      <c r="J19" s="3221" t="s">
        <v>4260</v>
      </c>
      <c r="K19" s="3221" t="s">
        <v>4261</v>
      </c>
      <c r="M19" s="3238" t="s">
        <v>1962</v>
      </c>
      <c r="N19" s="3238">
        <v>174</v>
      </c>
      <c r="O19" s="3237" t="s">
        <v>5551</v>
      </c>
      <c r="P19" s="3237"/>
      <c r="Q19" s="3237" t="s">
        <v>5489</v>
      </c>
      <c r="R19" s="3237" t="s">
        <v>5552</v>
      </c>
      <c r="S19" s="3238" t="s">
        <v>2811</v>
      </c>
      <c r="T19" s="3237" t="s">
        <v>2833</v>
      </c>
      <c r="U19" s="3239" t="s">
        <v>5553</v>
      </c>
      <c r="V19" s="3239" t="s">
        <v>5554</v>
      </c>
    </row>
    <row r="20" spans="2:22" ht="14.25">
      <c r="B20" s="3220" t="s">
        <v>4570</v>
      </c>
      <c r="C20" s="3224">
        <v>111</v>
      </c>
      <c r="D20" s="3219" t="s">
        <v>820</v>
      </c>
      <c r="E20" s="3219" t="s">
        <v>3600</v>
      </c>
      <c r="F20" s="3220"/>
      <c r="G20" s="3219" t="s">
        <v>2471</v>
      </c>
      <c r="H20" s="3220" t="s">
        <v>1201</v>
      </c>
      <c r="I20" s="3220" t="s">
        <v>2833</v>
      </c>
      <c r="J20" s="3221" t="s">
        <v>4260</v>
      </c>
      <c r="K20" s="3221" t="s">
        <v>9</v>
      </c>
      <c r="M20" s="3238" t="s">
        <v>4570</v>
      </c>
      <c r="N20" s="3238">
        <v>236</v>
      </c>
      <c r="O20" s="3237" t="s">
        <v>5480</v>
      </c>
      <c r="P20" s="3237" t="s">
        <v>5481</v>
      </c>
      <c r="Q20" s="3237" t="s">
        <v>5482</v>
      </c>
      <c r="R20" s="3237" t="s">
        <v>5483</v>
      </c>
      <c r="S20" s="3238" t="s">
        <v>5484</v>
      </c>
      <c r="T20" s="3237" t="s">
        <v>2833</v>
      </c>
      <c r="U20" s="3239" t="s">
        <v>5485</v>
      </c>
      <c r="V20" s="3239" t="s">
        <v>5486</v>
      </c>
    </row>
    <row r="21" spans="2:22" ht="14.25">
      <c r="B21" s="3220" t="s">
        <v>2874</v>
      </c>
      <c r="C21" s="3224">
        <v>114</v>
      </c>
      <c r="D21" s="3219" t="s">
        <v>2280</v>
      </c>
      <c r="E21" s="3219" t="s">
        <v>3599</v>
      </c>
      <c r="F21" s="3220"/>
      <c r="G21" s="3219" t="s">
        <v>826</v>
      </c>
      <c r="H21" s="3220" t="s">
        <v>1201</v>
      </c>
      <c r="I21" s="3220" t="s">
        <v>2833</v>
      </c>
      <c r="J21" s="3221" t="s">
        <v>4260</v>
      </c>
      <c r="K21" s="3221" t="s">
        <v>4262</v>
      </c>
      <c r="M21" s="3238" t="s">
        <v>2874</v>
      </c>
      <c r="N21" s="3238">
        <v>237</v>
      </c>
      <c r="O21" s="3237" t="s">
        <v>5516</v>
      </c>
      <c r="P21" s="3237" t="s">
        <v>5517</v>
      </c>
      <c r="Q21" s="3237" t="s">
        <v>5482</v>
      </c>
      <c r="R21" s="3237" t="s">
        <v>5518</v>
      </c>
      <c r="S21" s="3238" t="s">
        <v>5484</v>
      </c>
      <c r="T21" s="3237" t="s">
        <v>2833</v>
      </c>
      <c r="U21" s="3239" t="s">
        <v>5519</v>
      </c>
      <c r="V21" s="3239" t="s">
        <v>4651</v>
      </c>
    </row>
    <row r="22" spans="2:22" ht="14.25">
      <c r="B22" s="3220" t="s">
        <v>3836</v>
      </c>
      <c r="C22" s="3224">
        <v>116</v>
      </c>
      <c r="D22" s="3219" t="s">
        <v>3965</v>
      </c>
      <c r="E22" s="3219" t="s">
        <v>566</v>
      </c>
      <c r="F22" s="3220"/>
      <c r="G22" s="3219" t="s">
        <v>3967</v>
      </c>
      <c r="H22" s="3220" t="s">
        <v>1201</v>
      </c>
      <c r="I22" s="3220" t="s">
        <v>2833</v>
      </c>
      <c r="J22" s="3221" t="s">
        <v>4260</v>
      </c>
      <c r="K22" s="3221" t="s">
        <v>4262</v>
      </c>
      <c r="M22" s="3238" t="s">
        <v>3836</v>
      </c>
      <c r="N22" s="3238">
        <v>357</v>
      </c>
      <c r="O22" s="3237" t="s">
        <v>5559</v>
      </c>
      <c r="P22" s="3237"/>
      <c r="Q22" s="3237" t="s">
        <v>5482</v>
      </c>
      <c r="R22" s="3237" t="s">
        <v>2810</v>
      </c>
      <c r="S22" s="3238" t="s">
        <v>2811</v>
      </c>
      <c r="T22" s="3237" t="s">
        <v>2833</v>
      </c>
      <c r="U22" s="3239" t="s">
        <v>5560</v>
      </c>
      <c r="V22" s="3239" t="s">
        <v>5561</v>
      </c>
    </row>
    <row r="23" spans="2:22" ht="14.25">
      <c r="B23" s="3220" t="s">
        <v>2700</v>
      </c>
      <c r="C23" s="3224">
        <v>119</v>
      </c>
      <c r="D23" s="3219" t="s">
        <v>4384</v>
      </c>
      <c r="E23" s="3219" t="s">
        <v>4423</v>
      </c>
      <c r="F23" s="3220"/>
      <c r="G23" s="3219" t="s">
        <v>4386</v>
      </c>
      <c r="H23" s="3220" t="s">
        <v>1201</v>
      </c>
      <c r="I23" s="3220" t="s">
        <v>2833</v>
      </c>
      <c r="J23" s="3221" t="s">
        <v>4260</v>
      </c>
      <c r="K23" s="3221" t="s">
        <v>4262</v>
      </c>
      <c r="M23" s="3238" t="s">
        <v>2700</v>
      </c>
      <c r="N23" s="3238">
        <v>359</v>
      </c>
      <c r="O23" s="3237" t="s">
        <v>5502</v>
      </c>
      <c r="P23" s="3237" t="s">
        <v>5503</v>
      </c>
      <c r="Q23" s="3237" t="s">
        <v>5482</v>
      </c>
      <c r="R23" s="3237" t="s">
        <v>5504</v>
      </c>
      <c r="S23" s="3238" t="s">
        <v>5505</v>
      </c>
      <c r="T23" s="3237" t="s">
        <v>2833</v>
      </c>
      <c r="U23" s="3239" t="s">
        <v>5506</v>
      </c>
      <c r="V23" s="3239" t="s">
        <v>5507</v>
      </c>
    </row>
    <row r="24" spans="2:22" ht="14.25">
      <c r="B24" s="3220" t="s">
        <v>434</v>
      </c>
      <c r="C24" s="3224">
        <v>122</v>
      </c>
      <c r="D24" s="3219" t="s">
        <v>2092</v>
      </c>
      <c r="E24" s="3219" t="s">
        <v>3601</v>
      </c>
      <c r="F24" s="3220"/>
      <c r="G24" s="3219" t="s">
        <v>2889</v>
      </c>
      <c r="H24" s="3220" t="s">
        <v>4775</v>
      </c>
      <c r="I24" s="3220" t="s">
        <v>2833</v>
      </c>
      <c r="J24" s="3221" t="s">
        <v>10</v>
      </c>
      <c r="K24" s="3221" t="s">
        <v>11</v>
      </c>
      <c r="M24" s="3238" t="s">
        <v>434</v>
      </c>
      <c r="N24" s="3238">
        <v>360</v>
      </c>
      <c r="O24" s="3237" t="s">
        <v>5508</v>
      </c>
      <c r="P24" s="3237" t="s">
        <v>5509</v>
      </c>
      <c r="Q24" s="3237" t="s">
        <v>5482</v>
      </c>
      <c r="R24" s="3237" t="s">
        <v>5510</v>
      </c>
      <c r="S24" s="3238" t="s">
        <v>5505</v>
      </c>
      <c r="T24" s="3237" t="s">
        <v>2833</v>
      </c>
      <c r="U24" s="3239" t="s">
        <v>5506</v>
      </c>
      <c r="V24" s="3239" t="s">
        <v>5507</v>
      </c>
    </row>
    <row r="25" spans="2:22" ht="14.25">
      <c r="B25" s="3220" t="s">
        <v>1483</v>
      </c>
      <c r="C25" s="3224">
        <v>123</v>
      </c>
      <c r="D25" s="3219" t="s">
        <v>4882</v>
      </c>
      <c r="E25" s="3219" t="s">
        <v>3602</v>
      </c>
      <c r="F25" s="3220"/>
      <c r="G25" s="3219" t="s">
        <v>745</v>
      </c>
      <c r="H25" s="3220" t="s">
        <v>621</v>
      </c>
      <c r="I25" s="3220" t="s">
        <v>2833</v>
      </c>
      <c r="J25" s="3221" t="s">
        <v>4260</v>
      </c>
      <c r="K25" s="3221" t="s">
        <v>12</v>
      </c>
      <c r="M25" s="3238" t="s">
        <v>1483</v>
      </c>
      <c r="N25" s="3238">
        <v>361</v>
      </c>
      <c r="O25" s="3237" t="s">
        <v>5525</v>
      </c>
      <c r="P25" s="3237" t="s">
        <v>5526</v>
      </c>
      <c r="Q25" s="3237" t="s">
        <v>5482</v>
      </c>
      <c r="R25" s="3237" t="s">
        <v>5527</v>
      </c>
      <c r="S25" s="3238" t="s">
        <v>5491</v>
      </c>
      <c r="T25" s="3237" t="s">
        <v>2833</v>
      </c>
      <c r="U25" s="3239" t="s">
        <v>5523</v>
      </c>
      <c r="V25" s="3239" t="s">
        <v>5524</v>
      </c>
    </row>
    <row r="26" spans="2:22" ht="14.25">
      <c r="B26" s="3220" t="s">
        <v>1449</v>
      </c>
      <c r="C26" s="3224">
        <v>124</v>
      </c>
      <c r="D26" s="3219" t="s">
        <v>1130</v>
      </c>
      <c r="E26" s="3219" t="s">
        <v>3786</v>
      </c>
      <c r="F26" s="3220"/>
      <c r="G26" s="3219" t="s">
        <v>444</v>
      </c>
      <c r="H26" s="3220" t="s">
        <v>1138</v>
      </c>
      <c r="I26" s="3220" t="s">
        <v>2833</v>
      </c>
      <c r="J26" s="3221" t="s">
        <v>4260</v>
      </c>
      <c r="K26" s="3221" t="s">
        <v>4315</v>
      </c>
      <c r="M26" s="3238" t="s">
        <v>1449</v>
      </c>
      <c r="N26" s="3238">
        <v>362</v>
      </c>
      <c r="O26" s="3237" t="s">
        <v>5520</v>
      </c>
      <c r="P26" s="3237" t="s">
        <v>5521</v>
      </c>
      <c r="Q26" s="3237" t="s">
        <v>5482</v>
      </c>
      <c r="R26" s="3237" t="s">
        <v>5522</v>
      </c>
      <c r="S26" s="3238" t="s">
        <v>5491</v>
      </c>
      <c r="T26" s="3237" t="s">
        <v>2833</v>
      </c>
      <c r="U26" s="3239" t="s">
        <v>5523</v>
      </c>
      <c r="V26" s="3239" t="s">
        <v>5524</v>
      </c>
    </row>
    <row r="27" spans="2:22" ht="14.25">
      <c r="B27" s="3220" t="s">
        <v>2396</v>
      </c>
      <c r="C27" s="3224">
        <v>151</v>
      </c>
      <c r="D27" s="3219" t="s">
        <v>300</v>
      </c>
      <c r="E27" s="3219" t="s">
        <v>4005</v>
      </c>
      <c r="F27" s="3220"/>
      <c r="G27" s="3219" t="s">
        <v>302</v>
      </c>
      <c r="H27" s="3220" t="s">
        <v>3268</v>
      </c>
      <c r="I27" s="3220" t="s">
        <v>2833</v>
      </c>
      <c r="J27" s="3221" t="s">
        <v>4260</v>
      </c>
      <c r="K27" s="3221" t="s">
        <v>4698</v>
      </c>
      <c r="M27" s="3220"/>
      <c r="N27" s="3233"/>
      <c r="O27" s="3234"/>
      <c r="P27" s="3234"/>
      <c r="Q27" s="3235"/>
      <c r="R27" s="3234"/>
      <c r="S27" s="3235"/>
      <c r="T27" s="3235"/>
      <c r="U27" s="3236"/>
      <c r="V27" s="3236"/>
    </row>
    <row r="28" spans="2:22" ht="14.25">
      <c r="B28" s="3220" t="s">
        <v>2780</v>
      </c>
      <c r="C28" s="3224">
        <v>152</v>
      </c>
      <c r="D28" s="3219" t="s">
        <v>3128</v>
      </c>
      <c r="E28" s="3219" t="s">
        <v>1432</v>
      </c>
      <c r="F28" s="3220"/>
      <c r="G28" s="3219" t="s">
        <v>3121</v>
      </c>
      <c r="H28" s="3220" t="s">
        <v>3268</v>
      </c>
      <c r="I28" s="3220" t="s">
        <v>2833</v>
      </c>
      <c r="J28" s="3221" t="s">
        <v>4260</v>
      </c>
      <c r="K28" s="3221" t="s">
        <v>2594</v>
      </c>
      <c r="M28" s="3220"/>
      <c r="N28" s="3224"/>
      <c r="O28" s="3219"/>
      <c r="P28" s="3219"/>
      <c r="Q28" s="3220"/>
      <c r="R28" s="3219"/>
      <c r="S28" s="3220"/>
      <c r="T28" s="3220"/>
      <c r="U28" s="3221"/>
      <c r="V28" s="3221"/>
    </row>
    <row r="29" spans="2:22" ht="14.25">
      <c r="B29" s="3220" t="s">
        <v>1595</v>
      </c>
      <c r="C29" s="3224">
        <v>153</v>
      </c>
      <c r="D29" s="3219" t="s">
        <v>1365</v>
      </c>
      <c r="E29" s="3219" t="s">
        <v>3567</v>
      </c>
      <c r="F29" s="3220"/>
      <c r="G29" s="3219" t="s">
        <v>2583</v>
      </c>
      <c r="H29" s="3220" t="s">
        <v>3268</v>
      </c>
      <c r="I29" s="3220" t="s">
        <v>2833</v>
      </c>
      <c r="J29" s="3221" t="s">
        <v>4260</v>
      </c>
      <c r="K29" s="3221" t="s">
        <v>4702</v>
      </c>
      <c r="M29" s="3220"/>
      <c r="N29" s="3224"/>
      <c r="O29" s="3219"/>
      <c r="P29" s="3219"/>
      <c r="Q29" s="3220"/>
      <c r="R29" s="3219"/>
      <c r="S29" s="3220"/>
      <c r="T29" s="3220"/>
      <c r="U29" s="3221"/>
      <c r="V29" s="3221"/>
    </row>
    <row r="30" spans="2:22" ht="14.25">
      <c r="B30" s="3220" t="s">
        <v>989</v>
      </c>
      <c r="C30" s="3224">
        <v>154</v>
      </c>
      <c r="D30" s="3219" t="s">
        <v>5545</v>
      </c>
      <c r="E30" s="3219" t="s">
        <v>5546</v>
      </c>
      <c r="F30" s="3220" t="s">
        <v>5489</v>
      </c>
      <c r="G30" s="3219" t="s">
        <v>4904</v>
      </c>
      <c r="H30" s="3220" t="s">
        <v>3268</v>
      </c>
      <c r="I30" s="3220" t="s">
        <v>2833</v>
      </c>
      <c r="J30" s="3221" t="s">
        <v>5547</v>
      </c>
      <c r="K30" s="3221" t="s">
        <v>4697</v>
      </c>
      <c r="M30" s="3220"/>
      <c r="N30" s="3224"/>
      <c r="O30" s="3219"/>
      <c r="P30" s="3219"/>
      <c r="Q30" s="3220"/>
      <c r="R30" s="3219"/>
      <c r="S30" s="3220"/>
      <c r="T30" s="3220"/>
      <c r="U30" s="3221"/>
      <c r="V30" s="3221"/>
    </row>
    <row r="31" spans="2:22" ht="14.25">
      <c r="B31" s="3220" t="s">
        <v>994</v>
      </c>
      <c r="C31" s="3224">
        <v>155</v>
      </c>
      <c r="D31" s="3219" t="s">
        <v>1141</v>
      </c>
      <c r="E31" s="3219" t="s">
        <v>3787</v>
      </c>
      <c r="F31" s="3220"/>
      <c r="G31" s="3219" t="s">
        <v>4157</v>
      </c>
      <c r="H31" s="3220" t="s">
        <v>3268</v>
      </c>
      <c r="I31" s="3220" t="s">
        <v>2833</v>
      </c>
      <c r="J31" s="3221" t="s">
        <v>4260</v>
      </c>
      <c r="K31" s="3221" t="s">
        <v>4697</v>
      </c>
      <c r="M31" s="3220"/>
      <c r="N31" s="3224"/>
      <c r="O31" s="3219"/>
      <c r="P31" s="3219"/>
      <c r="Q31" s="3220"/>
      <c r="R31" s="3219"/>
      <c r="S31" s="3220"/>
      <c r="T31" s="3220"/>
      <c r="U31" s="3221"/>
      <c r="V31" s="3221"/>
    </row>
    <row r="32" spans="2:22" ht="14.25">
      <c r="B32" s="3220" t="s">
        <v>3247</v>
      </c>
      <c r="C32" s="3224">
        <v>156</v>
      </c>
      <c r="D32" s="3219" t="s">
        <v>2851</v>
      </c>
      <c r="E32" s="3219" t="s">
        <v>731</v>
      </c>
      <c r="F32" s="3220"/>
      <c r="G32" s="3219" t="s">
        <v>2378</v>
      </c>
      <c r="H32" s="3220" t="s">
        <v>3268</v>
      </c>
      <c r="I32" s="3220" t="s">
        <v>2833</v>
      </c>
      <c r="J32" s="3221" t="s">
        <v>4260</v>
      </c>
      <c r="K32" s="3221" t="s">
        <v>545</v>
      </c>
      <c r="M32" s="3220"/>
      <c r="N32" s="3224"/>
      <c r="O32" s="3219"/>
      <c r="P32" s="3219"/>
      <c r="Q32" s="3220"/>
      <c r="R32" s="3219"/>
      <c r="S32" s="3220"/>
      <c r="T32" s="3220"/>
      <c r="U32" s="3221"/>
      <c r="V32" s="3221"/>
    </row>
    <row r="33" spans="2:22" ht="14.25">
      <c r="B33" s="3220" t="s">
        <v>2586</v>
      </c>
      <c r="C33" s="3224">
        <v>157</v>
      </c>
      <c r="D33" s="3219" t="s">
        <v>3607</v>
      </c>
      <c r="E33" s="3219" t="s">
        <v>3266</v>
      </c>
      <c r="F33" s="3220"/>
      <c r="G33" s="3219" t="s">
        <v>1895</v>
      </c>
      <c r="H33" s="3220" t="s">
        <v>3268</v>
      </c>
      <c r="I33" s="3220" t="s">
        <v>2833</v>
      </c>
      <c r="J33" s="3221" t="s">
        <v>4260</v>
      </c>
      <c r="K33" s="3221" t="s">
        <v>4700</v>
      </c>
      <c r="M33" s="3220"/>
      <c r="N33" s="3224"/>
      <c r="O33" s="3219"/>
      <c r="P33" s="3219"/>
      <c r="Q33" s="3220"/>
      <c r="R33" s="3219"/>
      <c r="S33" s="3220"/>
      <c r="T33" s="3220"/>
      <c r="U33" s="3221"/>
      <c r="V33" s="3221"/>
    </row>
    <row r="34" spans="2:22" ht="14.25">
      <c r="B34" s="3220" t="s">
        <v>2878</v>
      </c>
      <c r="C34" s="3224">
        <v>158</v>
      </c>
      <c r="D34" s="3219" t="s">
        <v>3002</v>
      </c>
      <c r="E34" s="3219" t="s">
        <v>1603</v>
      </c>
      <c r="F34" s="3220"/>
      <c r="G34" s="3219" t="s">
        <v>4153</v>
      </c>
      <c r="H34" s="3220" t="s">
        <v>3268</v>
      </c>
      <c r="I34" s="3220" t="s">
        <v>2833</v>
      </c>
      <c r="J34" s="3221" t="s">
        <v>4260</v>
      </c>
      <c r="K34" s="3221" t="s">
        <v>2593</v>
      </c>
      <c r="M34" s="3220"/>
      <c r="N34" s="3224"/>
      <c r="O34" s="3219"/>
      <c r="P34" s="3219"/>
      <c r="Q34" s="3220"/>
      <c r="R34" s="3219"/>
      <c r="S34" s="3220"/>
      <c r="T34" s="3220"/>
      <c r="U34" s="3221"/>
      <c r="V34" s="3221"/>
    </row>
    <row r="35" spans="2:22" ht="14.25">
      <c r="B35" s="3220" t="s">
        <v>4979</v>
      </c>
      <c r="C35" s="3224">
        <v>159</v>
      </c>
      <c r="D35" s="3219" t="s">
        <v>2994</v>
      </c>
      <c r="E35" s="3219" t="s">
        <v>4257</v>
      </c>
      <c r="F35" s="3220"/>
      <c r="G35" s="3219" t="s">
        <v>1307</v>
      </c>
      <c r="H35" s="3220" t="s">
        <v>3268</v>
      </c>
      <c r="I35" s="3220" t="s">
        <v>2833</v>
      </c>
      <c r="J35" s="3221" t="s">
        <v>4260</v>
      </c>
      <c r="K35" s="3221" t="s">
        <v>2461</v>
      </c>
      <c r="M35" s="3220"/>
      <c r="N35" s="3224"/>
      <c r="O35" s="3219"/>
      <c r="P35" s="3219"/>
      <c r="Q35" s="3220"/>
      <c r="R35" s="3219"/>
      <c r="S35" s="3220"/>
      <c r="T35" s="3220"/>
      <c r="U35" s="3221"/>
      <c r="V35" s="3221"/>
    </row>
    <row r="36" spans="2:22" ht="14.25">
      <c r="B36" s="3220" t="s">
        <v>4127</v>
      </c>
      <c r="C36" s="3224">
        <v>160</v>
      </c>
      <c r="D36" s="3219" t="s">
        <v>1991</v>
      </c>
      <c r="E36" s="3219" t="s">
        <v>2758</v>
      </c>
      <c r="F36" s="3220"/>
      <c r="G36" s="3219" t="s">
        <v>1993</v>
      </c>
      <c r="H36" s="3220" t="s">
        <v>3268</v>
      </c>
      <c r="I36" s="3220" t="s">
        <v>2833</v>
      </c>
      <c r="J36" s="3221" t="s">
        <v>4260</v>
      </c>
      <c r="K36" s="3221" t="s">
        <v>3205</v>
      </c>
      <c r="M36" s="3220"/>
      <c r="N36" s="3224"/>
      <c r="O36" s="3219"/>
      <c r="P36" s="3219"/>
      <c r="Q36" s="3220"/>
      <c r="R36" s="3219"/>
      <c r="S36" s="3220"/>
      <c r="T36" s="3220"/>
      <c r="U36" s="3221"/>
      <c r="V36" s="3221"/>
    </row>
    <row r="37" spans="2:22" ht="14.25">
      <c r="B37" s="3220" t="s">
        <v>1803</v>
      </c>
      <c r="C37" s="3224">
        <v>161</v>
      </c>
      <c r="D37" s="3219" t="s">
        <v>360</v>
      </c>
      <c r="E37" s="3219" t="s">
        <v>3934</v>
      </c>
      <c r="F37" s="3220"/>
      <c r="G37" s="3219" t="s">
        <v>3203</v>
      </c>
      <c r="H37" s="3220" t="s">
        <v>1474</v>
      </c>
      <c r="I37" s="3220" t="s">
        <v>2833</v>
      </c>
      <c r="J37" s="3221" t="s">
        <v>4260</v>
      </c>
      <c r="K37" s="3221" t="s">
        <v>4653</v>
      </c>
      <c r="M37" s="3220"/>
      <c r="N37" s="3224"/>
      <c r="O37" s="3219"/>
      <c r="P37" s="3219"/>
      <c r="Q37" s="3220"/>
      <c r="R37" s="3219"/>
      <c r="S37" s="3220"/>
      <c r="T37" s="3220"/>
      <c r="U37" s="3221"/>
      <c r="V37" s="3221"/>
    </row>
    <row r="38" spans="2:22" ht="14.25">
      <c r="B38" s="3220" t="s">
        <v>4757</v>
      </c>
      <c r="C38" s="3224">
        <v>162</v>
      </c>
      <c r="D38" s="3219" t="s">
        <v>1591</v>
      </c>
      <c r="E38" s="3219" t="s">
        <v>3466</v>
      </c>
      <c r="F38" s="3220"/>
      <c r="G38" s="3219" t="s">
        <v>2496</v>
      </c>
      <c r="H38" s="3220" t="s">
        <v>1474</v>
      </c>
      <c r="I38" s="3220" t="s">
        <v>2833</v>
      </c>
      <c r="J38" s="3221" t="s">
        <v>4260</v>
      </c>
      <c r="K38" s="3221" t="s">
        <v>2593</v>
      </c>
      <c r="M38" s="3220"/>
      <c r="N38" s="3224"/>
      <c r="O38" s="3219"/>
      <c r="P38" s="3219"/>
      <c r="Q38" s="3220"/>
      <c r="R38" s="3219"/>
      <c r="S38" s="3220"/>
      <c r="T38" s="3220"/>
      <c r="U38" s="3221"/>
      <c r="V38" s="3221"/>
    </row>
    <row r="39" spans="2:22" ht="14.25">
      <c r="B39" s="3220" t="s">
        <v>4761</v>
      </c>
      <c r="C39" s="3224">
        <v>163</v>
      </c>
      <c r="D39" s="3219" t="s">
        <v>391</v>
      </c>
      <c r="E39" s="3219" t="s">
        <v>3085</v>
      </c>
      <c r="F39" s="3220"/>
      <c r="G39" s="3219" t="s">
        <v>2992</v>
      </c>
      <c r="H39" s="3220" t="s">
        <v>1474</v>
      </c>
      <c r="I39" s="3220" t="s">
        <v>2833</v>
      </c>
      <c r="J39" s="3221" t="s">
        <v>4260</v>
      </c>
      <c r="K39" s="3221" t="s">
        <v>3205</v>
      </c>
      <c r="M39" s="3220"/>
      <c r="N39" s="3224"/>
      <c r="O39" s="3219"/>
      <c r="P39" s="3219"/>
      <c r="Q39" s="3220"/>
      <c r="R39" s="3219"/>
      <c r="S39" s="3220"/>
      <c r="T39" s="3220"/>
      <c r="U39" s="3221"/>
      <c r="V39" s="3221"/>
    </row>
    <row r="40" spans="2:22" ht="14.25">
      <c r="B40" s="3220" t="s">
        <v>216</v>
      </c>
      <c r="C40" s="3224">
        <v>164</v>
      </c>
      <c r="D40" s="3219" t="s">
        <v>4299</v>
      </c>
      <c r="E40" s="3219" t="s">
        <v>2368</v>
      </c>
      <c r="F40" s="3220"/>
      <c r="G40" s="3219" t="s">
        <v>284</v>
      </c>
      <c r="H40" s="3220" t="s">
        <v>1474</v>
      </c>
      <c r="I40" s="3220" t="s">
        <v>2833</v>
      </c>
      <c r="J40" s="3221" t="s">
        <v>4260</v>
      </c>
      <c r="K40" s="3221" t="s">
        <v>4701</v>
      </c>
      <c r="M40" s="3220"/>
      <c r="N40" s="3224"/>
      <c r="O40" s="3219"/>
      <c r="P40" s="3219"/>
      <c r="Q40" s="3220"/>
      <c r="R40" s="3219"/>
      <c r="S40" s="3220"/>
      <c r="T40" s="3220"/>
      <c r="U40" s="3221"/>
      <c r="V40" s="3221"/>
    </row>
    <row r="41" spans="2:22" ht="14.25">
      <c r="B41" s="3220" t="s">
        <v>4028</v>
      </c>
      <c r="C41" s="3224">
        <v>165</v>
      </c>
      <c r="D41" s="3219" t="s">
        <v>45</v>
      </c>
      <c r="E41" s="3219" t="s">
        <v>3933</v>
      </c>
      <c r="F41" s="3220"/>
      <c r="G41" s="3219" t="s">
        <v>516</v>
      </c>
      <c r="H41" s="3220" t="s">
        <v>1474</v>
      </c>
      <c r="I41" s="3220" t="s">
        <v>2833</v>
      </c>
      <c r="J41" s="3221" t="s">
        <v>4260</v>
      </c>
      <c r="K41" s="3221" t="s">
        <v>4699</v>
      </c>
      <c r="M41" s="3220"/>
      <c r="N41" s="3224"/>
      <c r="O41" s="3219"/>
      <c r="P41" s="3219"/>
      <c r="Q41" s="3220"/>
      <c r="R41" s="3219"/>
      <c r="S41" s="3220"/>
      <c r="T41" s="3220"/>
      <c r="U41" s="3221"/>
      <c r="V41" s="3221"/>
    </row>
    <row r="42" spans="2:22" ht="14.25">
      <c r="B42" s="3220" t="s">
        <v>4020</v>
      </c>
      <c r="C42" s="3224">
        <v>166</v>
      </c>
      <c r="D42" s="3219" t="s">
        <v>518</v>
      </c>
      <c r="E42" s="3219" t="s">
        <v>3264</v>
      </c>
      <c r="F42" s="3220"/>
      <c r="G42" s="3219" t="s">
        <v>2281</v>
      </c>
      <c r="H42" s="3220" t="s">
        <v>1474</v>
      </c>
      <c r="I42" s="3220" t="s">
        <v>2833</v>
      </c>
      <c r="J42" s="3221" t="s">
        <v>4260</v>
      </c>
      <c r="K42" s="3221" t="s">
        <v>3205</v>
      </c>
      <c r="M42" s="3220"/>
      <c r="N42" s="3224"/>
      <c r="O42" s="3219"/>
      <c r="P42" s="3219"/>
      <c r="Q42" s="3220"/>
      <c r="R42" s="3219"/>
      <c r="S42" s="3220"/>
      <c r="T42" s="3220"/>
      <c r="U42" s="3221"/>
      <c r="V42" s="3221"/>
    </row>
    <row r="43" spans="2:22" ht="14.25">
      <c r="B43" s="3220" t="s">
        <v>4250</v>
      </c>
      <c r="C43" s="3224">
        <v>167</v>
      </c>
      <c r="D43" s="3219" t="s">
        <v>2283</v>
      </c>
      <c r="E43" s="3219" t="s">
        <v>3265</v>
      </c>
      <c r="F43" s="3220"/>
      <c r="G43" s="3219" t="s">
        <v>3605</v>
      </c>
      <c r="H43" s="3220" t="s">
        <v>1474</v>
      </c>
      <c r="I43" s="3220" t="s">
        <v>2833</v>
      </c>
      <c r="J43" s="3221" t="s">
        <v>4260</v>
      </c>
      <c r="K43" s="3221" t="s">
        <v>3205</v>
      </c>
      <c r="M43" s="3220"/>
      <c r="N43" s="3224"/>
      <c r="O43" s="3219"/>
      <c r="P43" s="3219"/>
      <c r="Q43" s="3220"/>
      <c r="R43" s="3219"/>
      <c r="S43" s="3220"/>
      <c r="T43" s="3220"/>
      <c r="U43" s="3221"/>
      <c r="V43" s="3221"/>
    </row>
    <row r="44" spans="2:22" ht="14.25">
      <c r="B44" s="3220" t="s">
        <v>2519</v>
      </c>
      <c r="C44" s="3224">
        <v>169</v>
      </c>
      <c r="D44" s="3219" t="s">
        <v>1471</v>
      </c>
      <c r="E44" s="3219" t="s">
        <v>3062</v>
      </c>
      <c r="F44" s="3220"/>
      <c r="G44" s="3219" t="s">
        <v>1473</v>
      </c>
      <c r="H44" s="3220" t="s">
        <v>1474</v>
      </c>
      <c r="I44" s="3220" t="s">
        <v>2833</v>
      </c>
      <c r="J44" s="3221" t="s">
        <v>4260</v>
      </c>
      <c r="K44" s="3221" t="s">
        <v>4651</v>
      </c>
      <c r="M44" s="3220"/>
      <c r="N44" s="3224"/>
      <c r="O44" s="3219"/>
      <c r="P44" s="3219"/>
      <c r="Q44" s="3220"/>
      <c r="R44" s="3219"/>
      <c r="S44" s="3220"/>
      <c r="T44" s="3220"/>
      <c r="U44" s="3221"/>
      <c r="V44" s="3221"/>
    </row>
    <row r="45" spans="2:22" ht="14.25">
      <c r="B45" s="3220" t="s">
        <v>1017</v>
      </c>
      <c r="C45" s="3224">
        <v>170</v>
      </c>
      <c r="D45" s="3219" t="s">
        <v>487</v>
      </c>
      <c r="E45" s="3219" t="s">
        <v>749</v>
      </c>
      <c r="F45" s="3220"/>
      <c r="G45" s="3219" t="s">
        <v>3526</v>
      </c>
      <c r="H45" s="3220" t="s">
        <v>1474</v>
      </c>
      <c r="I45" s="3220" t="s">
        <v>2833</v>
      </c>
      <c r="J45" s="3221" t="s">
        <v>4260</v>
      </c>
      <c r="K45" s="3221" t="s">
        <v>4652</v>
      </c>
      <c r="M45" s="3220"/>
      <c r="N45" s="3224"/>
      <c r="O45" s="3219"/>
      <c r="P45" s="3219"/>
      <c r="Q45" s="3220"/>
      <c r="R45" s="3219"/>
      <c r="S45" s="3220"/>
      <c r="T45" s="3220"/>
      <c r="U45" s="3221"/>
      <c r="V45" s="3221"/>
    </row>
    <row r="46" spans="2:22" ht="14.25">
      <c r="B46" s="3220" t="s">
        <v>3964</v>
      </c>
      <c r="C46" s="3240">
        <v>171</v>
      </c>
      <c r="D46" s="3241" t="s">
        <v>5487</v>
      </c>
      <c r="E46" s="3241" t="s">
        <v>5488</v>
      </c>
      <c r="F46" s="3242" t="s">
        <v>5489</v>
      </c>
      <c r="G46" s="3241" t="s">
        <v>5490</v>
      </c>
      <c r="H46" s="3242" t="s">
        <v>5491</v>
      </c>
      <c r="I46" s="3242" t="s">
        <v>2833</v>
      </c>
      <c r="J46" s="3243" t="s">
        <v>5492</v>
      </c>
      <c r="K46" s="3243" t="s">
        <v>1179</v>
      </c>
      <c r="M46" s="3220"/>
      <c r="N46" s="3224"/>
      <c r="O46" s="3219"/>
      <c r="P46" s="3219"/>
      <c r="Q46" s="3220"/>
      <c r="R46" s="3219"/>
      <c r="S46" s="3220"/>
      <c r="T46" s="3220"/>
      <c r="U46" s="3221"/>
      <c r="V46" s="3221"/>
    </row>
    <row r="47" spans="2:22" ht="14.25">
      <c r="B47" s="3220" t="s">
        <v>1355</v>
      </c>
      <c r="C47" s="3240">
        <v>172</v>
      </c>
      <c r="D47" s="3241" t="s">
        <v>5511</v>
      </c>
      <c r="E47" s="3241" t="s">
        <v>5512</v>
      </c>
      <c r="F47" s="3242" t="s">
        <v>5489</v>
      </c>
      <c r="G47" s="3241" t="s">
        <v>5513</v>
      </c>
      <c r="H47" s="3242" t="s">
        <v>2811</v>
      </c>
      <c r="I47" s="3242" t="s">
        <v>2833</v>
      </c>
      <c r="J47" s="3243" t="s">
        <v>5514</v>
      </c>
      <c r="K47" s="3243" t="s">
        <v>5515</v>
      </c>
      <c r="M47" s="3220"/>
      <c r="N47" s="3224"/>
      <c r="O47" s="3219"/>
      <c r="P47" s="3219"/>
      <c r="Q47" s="3220"/>
      <c r="R47" s="3219"/>
      <c r="S47" s="3220"/>
      <c r="T47" s="3220"/>
      <c r="U47" s="3221"/>
      <c r="V47" s="3221"/>
    </row>
    <row r="48" spans="2:22" ht="14.25">
      <c r="B48" s="3220" t="s">
        <v>396</v>
      </c>
      <c r="C48" s="3224">
        <v>200</v>
      </c>
      <c r="D48" s="3219" t="s">
        <v>1065</v>
      </c>
      <c r="E48" s="3219" t="s">
        <v>3392</v>
      </c>
      <c r="F48" s="3220"/>
      <c r="G48" s="3219" t="s">
        <v>3463</v>
      </c>
      <c r="H48" s="3220" t="s">
        <v>755</v>
      </c>
      <c r="I48" s="3220" t="s">
        <v>2833</v>
      </c>
      <c r="J48" s="3221" t="s">
        <v>2084</v>
      </c>
      <c r="K48" s="3221" t="s">
        <v>2085</v>
      </c>
      <c r="M48" s="3220"/>
      <c r="N48" s="3224"/>
      <c r="O48" s="3219"/>
      <c r="P48" s="3219"/>
      <c r="Q48" s="3220"/>
      <c r="R48" s="3219"/>
      <c r="S48" s="3220"/>
      <c r="T48" s="3220"/>
      <c r="U48" s="3221"/>
      <c r="V48" s="3221"/>
    </row>
    <row r="49" spans="2:22" ht="14.25">
      <c r="B49" s="3220" t="s">
        <v>1942</v>
      </c>
      <c r="C49" s="3224">
        <v>201</v>
      </c>
      <c r="D49" s="3219" t="s">
        <v>471</v>
      </c>
      <c r="E49" s="3219" t="s">
        <v>3393</v>
      </c>
      <c r="F49" s="3220"/>
      <c r="G49" s="3219" t="s">
        <v>661</v>
      </c>
      <c r="H49" s="3220" t="s">
        <v>755</v>
      </c>
      <c r="I49" s="3220" t="s">
        <v>2833</v>
      </c>
      <c r="J49" s="3221" t="s">
        <v>882</v>
      </c>
      <c r="K49" s="3221" t="s">
        <v>3278</v>
      </c>
      <c r="M49" s="3220"/>
      <c r="N49" s="3224"/>
      <c r="O49" s="3219"/>
      <c r="P49" s="3219"/>
      <c r="Q49" s="3220"/>
      <c r="R49" s="3219"/>
      <c r="S49" s="3220"/>
      <c r="T49" s="3220"/>
      <c r="U49" s="3221"/>
      <c r="V49" s="3221"/>
    </row>
    <row r="50" spans="2:22" ht="14.25">
      <c r="B50" s="3220" t="s">
        <v>3629</v>
      </c>
      <c r="C50" s="3224">
        <v>202</v>
      </c>
      <c r="D50" s="3219" t="s">
        <v>1360</v>
      </c>
      <c r="E50" s="3219" t="s">
        <v>3296</v>
      </c>
      <c r="F50" s="3220"/>
      <c r="G50" s="3219" t="s">
        <v>1361</v>
      </c>
      <c r="H50" s="3220" t="s">
        <v>755</v>
      </c>
      <c r="I50" s="3220" t="s">
        <v>2833</v>
      </c>
      <c r="J50" s="3221" t="s">
        <v>2084</v>
      </c>
      <c r="K50" s="3221" t="s">
        <v>2085</v>
      </c>
      <c r="M50" s="3220"/>
      <c r="N50" s="3224"/>
      <c r="O50" s="3219"/>
      <c r="P50" s="3219"/>
      <c r="Q50" s="3220"/>
      <c r="R50" s="3219"/>
      <c r="S50" s="3220"/>
      <c r="T50" s="3220"/>
      <c r="U50" s="3221"/>
      <c r="V50" s="3221"/>
    </row>
    <row r="51" spans="2:22" ht="14.25">
      <c r="B51" s="3220" t="s">
        <v>703</v>
      </c>
      <c r="C51" s="3224">
        <v>204</v>
      </c>
      <c r="D51" s="3219" t="s">
        <v>1841</v>
      </c>
      <c r="E51" s="3219" t="s">
        <v>2244</v>
      </c>
      <c r="F51" s="3220"/>
      <c r="G51" s="3219" t="s">
        <v>2972</v>
      </c>
      <c r="H51" s="3220" t="s">
        <v>755</v>
      </c>
      <c r="I51" s="3220" t="s">
        <v>2833</v>
      </c>
      <c r="J51" s="3221" t="s">
        <v>2084</v>
      </c>
      <c r="K51" s="3221" t="s">
        <v>2085</v>
      </c>
      <c r="M51" s="3220"/>
      <c r="N51" s="3224"/>
      <c r="O51" s="3219"/>
      <c r="P51" s="3219"/>
      <c r="Q51" s="3220"/>
      <c r="R51" s="3219"/>
      <c r="S51" s="3220"/>
      <c r="T51" s="3220"/>
      <c r="U51" s="3221"/>
      <c r="V51" s="3221"/>
    </row>
    <row r="52" spans="2:22" ht="14.25">
      <c r="B52" s="3220" t="s">
        <v>119</v>
      </c>
      <c r="C52" s="3224">
        <v>207</v>
      </c>
      <c r="D52" s="3219" t="s">
        <v>1090</v>
      </c>
      <c r="E52" s="3219" t="s">
        <v>4648</v>
      </c>
      <c r="F52" s="3220"/>
      <c r="G52" s="3219" t="s">
        <v>2352</v>
      </c>
      <c r="H52" s="3220" t="s">
        <v>755</v>
      </c>
      <c r="I52" s="3220" t="s">
        <v>2833</v>
      </c>
      <c r="J52" s="3221" t="s">
        <v>2084</v>
      </c>
      <c r="K52" s="3221" t="s">
        <v>2085</v>
      </c>
      <c r="M52" s="3220"/>
      <c r="N52" s="3224"/>
      <c r="O52" s="3219"/>
      <c r="P52" s="3219"/>
      <c r="Q52" s="3220"/>
      <c r="R52" s="3219"/>
      <c r="S52" s="3220"/>
      <c r="T52" s="3220"/>
      <c r="U52" s="3221"/>
      <c r="V52" s="3221"/>
    </row>
    <row r="53" spans="2:22" ht="14.25">
      <c r="B53" s="3220" t="s">
        <v>3337</v>
      </c>
      <c r="C53" s="3224">
        <v>209</v>
      </c>
      <c r="D53" s="3219" t="s">
        <v>3027</v>
      </c>
      <c r="E53" s="3219" t="s">
        <v>514</v>
      </c>
      <c r="F53" s="3220"/>
      <c r="G53" s="3219" t="s">
        <v>3561</v>
      </c>
      <c r="H53" s="3220" t="s">
        <v>755</v>
      </c>
      <c r="I53" s="3220" t="s">
        <v>2833</v>
      </c>
      <c r="J53" s="3221" t="s">
        <v>2084</v>
      </c>
      <c r="K53" s="3221" t="s">
        <v>2085</v>
      </c>
      <c r="M53" s="3220"/>
      <c r="N53" s="3224"/>
      <c r="O53" s="3219"/>
      <c r="P53" s="3219"/>
      <c r="Q53" s="3220"/>
      <c r="R53" s="3219"/>
      <c r="S53" s="3220"/>
      <c r="T53" s="3220"/>
      <c r="U53" s="3221"/>
      <c r="V53" s="3221"/>
    </row>
    <row r="54" spans="2:22" ht="14.25">
      <c r="B54" s="3220" t="s">
        <v>4684</v>
      </c>
      <c r="C54" s="3224">
        <v>210</v>
      </c>
      <c r="D54" s="3219" t="s">
        <v>211</v>
      </c>
      <c r="E54" s="3219" t="s">
        <v>515</v>
      </c>
      <c r="F54" s="3220"/>
      <c r="G54" s="3219" t="s">
        <v>3219</v>
      </c>
      <c r="H54" s="3220" t="s">
        <v>755</v>
      </c>
      <c r="I54" s="3220" t="s">
        <v>2833</v>
      </c>
      <c r="J54" s="3221" t="s">
        <v>2084</v>
      </c>
      <c r="K54" s="3221" t="s">
        <v>2085</v>
      </c>
      <c r="M54" s="3220"/>
      <c r="N54" s="3224"/>
      <c r="O54" s="3219"/>
      <c r="P54" s="3219"/>
      <c r="Q54" s="3220"/>
      <c r="R54" s="3219"/>
      <c r="S54" s="3220"/>
      <c r="T54" s="3220"/>
      <c r="U54" s="3221"/>
      <c r="V54" s="3221"/>
    </row>
    <row r="55" spans="2:22" ht="14.25">
      <c r="B55" s="3220" t="s">
        <v>2822</v>
      </c>
      <c r="C55" s="3224">
        <v>214</v>
      </c>
      <c r="D55" s="3219" t="s">
        <v>3221</v>
      </c>
      <c r="E55" s="3219" t="s">
        <v>3690</v>
      </c>
      <c r="F55" s="3220"/>
      <c r="G55" s="3219" t="s">
        <v>2585</v>
      </c>
      <c r="H55" s="3220" t="s">
        <v>755</v>
      </c>
      <c r="I55" s="3220" t="s">
        <v>667</v>
      </c>
      <c r="J55" s="3221" t="s">
        <v>2084</v>
      </c>
      <c r="K55" s="3221" t="s">
        <v>2068</v>
      </c>
      <c r="M55" s="3220"/>
      <c r="N55" s="3224"/>
      <c r="O55" s="3219"/>
      <c r="P55" s="3219"/>
      <c r="Q55" s="3220"/>
      <c r="R55" s="3219"/>
      <c r="S55" s="3220"/>
      <c r="T55" s="3220"/>
      <c r="U55" s="3221"/>
      <c r="V55" s="3221"/>
    </row>
    <row r="56" spans="2:22" ht="14.25">
      <c r="B56" s="3220" t="s">
        <v>4039</v>
      </c>
      <c r="C56" s="3224">
        <v>217</v>
      </c>
      <c r="D56" s="3219" t="s">
        <v>3837</v>
      </c>
      <c r="E56" s="3219" t="s">
        <v>4917</v>
      </c>
      <c r="F56" s="3220"/>
      <c r="G56" s="3219" t="s">
        <v>2699</v>
      </c>
      <c r="H56" s="3220" t="s">
        <v>4567</v>
      </c>
      <c r="I56" s="3220" t="s">
        <v>667</v>
      </c>
      <c r="J56" s="3221" t="s">
        <v>2069</v>
      </c>
      <c r="K56" s="3221" t="s">
        <v>2070</v>
      </c>
      <c r="M56" s="3220"/>
      <c r="N56" s="3224"/>
      <c r="O56" s="3219"/>
      <c r="P56" s="3219"/>
      <c r="Q56" s="3220"/>
      <c r="R56" s="3219"/>
      <c r="S56" s="3220"/>
      <c r="T56" s="3220"/>
      <c r="U56" s="3221"/>
      <c r="V56" s="3221"/>
    </row>
    <row r="57" spans="2:22" ht="14.25">
      <c r="B57" s="3220" t="s">
        <v>2836</v>
      </c>
      <c r="C57" s="3224">
        <v>219</v>
      </c>
      <c r="D57" s="3219" t="s">
        <v>4961</v>
      </c>
      <c r="E57" s="3219" t="s">
        <v>3506</v>
      </c>
      <c r="F57" s="3220"/>
      <c r="G57" s="3219" t="s">
        <v>4604</v>
      </c>
      <c r="H57" s="3220" t="s">
        <v>4567</v>
      </c>
      <c r="I57" s="3220" t="s">
        <v>2833</v>
      </c>
      <c r="J57" s="3221" t="s">
        <v>2071</v>
      </c>
      <c r="K57" s="3221" t="s">
        <v>4317</v>
      </c>
      <c r="M57" s="3220"/>
      <c r="N57" s="3224"/>
      <c r="O57" s="3219"/>
      <c r="P57" s="3219"/>
      <c r="Q57" s="3220"/>
      <c r="R57" s="3219"/>
      <c r="S57" s="3220"/>
      <c r="T57" s="3220"/>
      <c r="U57" s="3221"/>
      <c r="V57" s="3221"/>
    </row>
    <row r="58" spans="2:22" ht="14.25">
      <c r="B58" s="3220" t="s">
        <v>4383</v>
      </c>
      <c r="C58" s="3224">
        <v>220</v>
      </c>
      <c r="D58" s="3219" t="s">
        <v>3192</v>
      </c>
      <c r="E58" s="3219" t="s">
        <v>1083</v>
      </c>
      <c r="F58" s="3220"/>
      <c r="G58" s="3219" t="s">
        <v>3194</v>
      </c>
      <c r="H58" s="3220" t="s">
        <v>4567</v>
      </c>
      <c r="I58" s="3220" t="s">
        <v>667</v>
      </c>
      <c r="J58" s="3221" t="s">
        <v>10</v>
      </c>
      <c r="K58" s="3221" t="s">
        <v>2086</v>
      </c>
      <c r="M58" s="3220"/>
      <c r="N58" s="3224"/>
      <c r="O58" s="3219"/>
      <c r="P58" s="3219"/>
      <c r="Q58" s="3220"/>
      <c r="R58" s="3219"/>
      <c r="S58" s="3220"/>
      <c r="T58" s="3220"/>
      <c r="U58" s="3221"/>
      <c r="V58" s="3221"/>
    </row>
    <row r="59" spans="2:22" ht="14.25">
      <c r="B59" s="3220" t="s">
        <v>2552</v>
      </c>
      <c r="C59" s="3224">
        <v>221</v>
      </c>
      <c r="D59" s="3219" t="s">
        <v>1450</v>
      </c>
      <c r="E59" s="3219" t="s">
        <v>94</v>
      </c>
      <c r="F59" s="3220"/>
      <c r="G59" s="3219" t="s">
        <v>2190</v>
      </c>
      <c r="H59" s="3220" t="s">
        <v>4567</v>
      </c>
      <c r="I59" s="3220" t="s">
        <v>2833</v>
      </c>
      <c r="J59" s="3221" t="s">
        <v>10</v>
      </c>
      <c r="K59" s="3221" t="s">
        <v>3047</v>
      </c>
      <c r="M59" s="3220"/>
      <c r="N59" s="3224"/>
      <c r="O59" s="3219"/>
      <c r="P59" s="3219"/>
      <c r="Q59" s="3220"/>
      <c r="R59" s="3219"/>
      <c r="S59" s="3220"/>
      <c r="T59" s="3220"/>
      <c r="U59" s="3221"/>
      <c r="V59" s="3221"/>
    </row>
    <row r="60" spans="2:22" ht="14.25">
      <c r="B60" s="3220" t="s">
        <v>827</v>
      </c>
      <c r="C60" s="3224">
        <v>224</v>
      </c>
      <c r="D60" s="3219" t="s">
        <v>966</v>
      </c>
      <c r="E60" s="3219" t="s">
        <v>3865</v>
      </c>
      <c r="F60" s="3220"/>
      <c r="G60" s="3219" t="s">
        <v>978</v>
      </c>
      <c r="H60" s="3220" t="s">
        <v>3095</v>
      </c>
      <c r="I60" s="3220" t="s">
        <v>2833</v>
      </c>
      <c r="J60" s="3221" t="s">
        <v>10</v>
      </c>
      <c r="K60" s="3221" t="s">
        <v>3048</v>
      </c>
      <c r="M60" s="3220"/>
      <c r="N60" s="3224"/>
      <c r="O60" s="3219"/>
      <c r="P60" s="3219"/>
      <c r="Q60" s="3220"/>
      <c r="R60" s="3219"/>
      <c r="S60" s="3220"/>
      <c r="T60" s="3220"/>
      <c r="U60" s="3221"/>
      <c r="V60" s="3221"/>
    </row>
    <row r="61" spans="2:22" ht="14.25">
      <c r="B61" s="3220" t="s">
        <v>2473</v>
      </c>
      <c r="C61" s="3224">
        <v>225</v>
      </c>
      <c r="D61" s="3219" t="s">
        <v>499</v>
      </c>
      <c r="E61" s="3219" t="s">
        <v>4224</v>
      </c>
      <c r="F61" s="3220"/>
      <c r="G61" s="3219" t="s">
        <v>4083</v>
      </c>
      <c r="H61" s="3220" t="s">
        <v>3095</v>
      </c>
      <c r="I61" s="3220" t="s">
        <v>667</v>
      </c>
      <c r="J61" s="3221" t="s">
        <v>10</v>
      </c>
      <c r="K61" s="3221" t="s">
        <v>3845</v>
      </c>
      <c r="M61" s="3220"/>
      <c r="N61" s="3224"/>
      <c r="O61" s="3219"/>
      <c r="P61" s="3219"/>
      <c r="Q61" s="3220"/>
      <c r="R61" s="3219"/>
      <c r="S61" s="3220"/>
      <c r="T61" s="3220"/>
      <c r="U61" s="3221"/>
      <c r="V61" s="3221"/>
    </row>
    <row r="62" spans="2:22" s="2185" customFormat="1" ht="14.25">
      <c r="B62" s="3220" t="s">
        <v>2091</v>
      </c>
      <c r="C62" s="3224">
        <v>226</v>
      </c>
      <c r="D62" s="3219" t="s">
        <v>2796</v>
      </c>
      <c r="E62" s="3219" t="s">
        <v>3465</v>
      </c>
      <c r="F62" s="3220"/>
      <c r="G62" s="3219" t="s">
        <v>3245</v>
      </c>
      <c r="H62" s="3220" t="s">
        <v>3095</v>
      </c>
      <c r="I62" s="3220" t="s">
        <v>2833</v>
      </c>
      <c r="J62" s="3221" t="s">
        <v>10</v>
      </c>
      <c r="K62" s="3221" t="s">
        <v>3848</v>
      </c>
      <c r="M62" s="3220"/>
      <c r="N62" s="3224"/>
      <c r="O62" s="3219"/>
      <c r="P62" s="3219"/>
      <c r="Q62" s="3220"/>
      <c r="R62" s="3219"/>
      <c r="S62" s="3220"/>
      <c r="T62" s="3220"/>
      <c r="U62" s="3221"/>
      <c r="V62" s="3221"/>
    </row>
    <row r="63" spans="2:22" ht="14.25">
      <c r="B63" s="3220" t="s">
        <v>848</v>
      </c>
      <c r="C63" s="3224">
        <v>227</v>
      </c>
      <c r="D63" s="3219" t="s">
        <v>3248</v>
      </c>
      <c r="E63" s="3219" t="s">
        <v>1213</v>
      </c>
      <c r="F63" s="3220"/>
      <c r="G63" s="3219" t="s">
        <v>1959</v>
      </c>
      <c r="H63" s="3220" t="s">
        <v>1960</v>
      </c>
      <c r="I63" s="3220" t="s">
        <v>2833</v>
      </c>
      <c r="J63" s="3221" t="s">
        <v>10</v>
      </c>
      <c r="K63" s="3221" t="s">
        <v>3848</v>
      </c>
      <c r="M63" s="3220"/>
      <c r="N63" s="3224"/>
      <c r="O63" s="3219"/>
      <c r="P63" s="3219"/>
      <c r="Q63" s="3220"/>
      <c r="R63" s="3219"/>
      <c r="S63" s="3220"/>
      <c r="T63" s="3220"/>
      <c r="U63" s="3221"/>
      <c r="V63" s="3221"/>
    </row>
    <row r="64" spans="2:22" ht="14.25">
      <c r="B64" s="3220" t="s">
        <v>5042</v>
      </c>
      <c r="C64" s="3224">
        <v>228</v>
      </c>
      <c r="D64" s="3219" t="s">
        <v>1685</v>
      </c>
      <c r="E64" s="3219" t="s">
        <v>1214</v>
      </c>
      <c r="F64" s="3220"/>
      <c r="G64" s="3219" t="s">
        <v>2877</v>
      </c>
      <c r="H64" s="3220" t="s">
        <v>3095</v>
      </c>
      <c r="I64" s="3220" t="s">
        <v>667</v>
      </c>
      <c r="J64" s="3221" t="s">
        <v>10</v>
      </c>
      <c r="K64" s="3221" t="s">
        <v>3849</v>
      </c>
      <c r="M64" s="3220"/>
      <c r="N64" s="3224"/>
      <c r="O64" s="3219"/>
      <c r="P64" s="3219"/>
      <c r="Q64" s="3220"/>
      <c r="R64" s="3219"/>
      <c r="S64" s="3220"/>
      <c r="T64" s="3220"/>
      <c r="U64" s="3221"/>
      <c r="V64" s="3221"/>
    </row>
    <row r="65" spans="2:22" ht="14.25">
      <c r="B65" s="3220" t="s">
        <v>1470</v>
      </c>
      <c r="C65" s="3224">
        <v>229</v>
      </c>
      <c r="D65" s="3219" t="s">
        <v>2879</v>
      </c>
      <c r="E65" s="3219" t="s">
        <v>1216</v>
      </c>
      <c r="F65" s="3220"/>
      <c r="G65" s="3219" t="s">
        <v>4978</v>
      </c>
      <c r="H65" s="3220" t="s">
        <v>1960</v>
      </c>
      <c r="I65" s="3220" t="s">
        <v>2833</v>
      </c>
      <c r="J65" s="3221" t="s">
        <v>10</v>
      </c>
      <c r="K65" s="3221" t="s">
        <v>3848</v>
      </c>
      <c r="M65" s="3220"/>
      <c r="N65" s="3224"/>
      <c r="O65" s="3219"/>
      <c r="P65" s="3219"/>
      <c r="Q65" s="3220"/>
      <c r="R65" s="3219"/>
      <c r="S65" s="3220"/>
      <c r="T65" s="3220"/>
      <c r="U65" s="3221"/>
      <c r="V65" s="3221"/>
    </row>
    <row r="66" spans="2:22" ht="14.25">
      <c r="B66" s="3220" t="s">
        <v>1476</v>
      </c>
      <c r="C66" s="3224">
        <v>230</v>
      </c>
      <c r="D66" s="3219" t="s">
        <v>2290</v>
      </c>
      <c r="E66" s="3219" t="s">
        <v>1217</v>
      </c>
      <c r="F66" s="3220"/>
      <c r="G66" s="3219" t="s">
        <v>2292</v>
      </c>
      <c r="H66" s="3220" t="s">
        <v>673</v>
      </c>
      <c r="I66" s="3220" t="s">
        <v>2833</v>
      </c>
      <c r="J66" s="3221" t="s">
        <v>3850</v>
      </c>
      <c r="K66" s="3221" t="s">
        <v>3851</v>
      </c>
      <c r="M66" s="3220"/>
      <c r="N66" s="3224"/>
      <c r="O66" s="3219"/>
      <c r="P66" s="3219"/>
      <c r="Q66" s="3220"/>
      <c r="R66" s="3219"/>
      <c r="S66" s="3220"/>
      <c r="T66" s="3220"/>
      <c r="U66" s="3221"/>
      <c r="V66" s="3221"/>
    </row>
    <row r="67" spans="2:22" ht="14.25">
      <c r="B67" s="3220" t="s">
        <v>505</v>
      </c>
      <c r="C67" s="3224">
        <v>231</v>
      </c>
      <c r="D67" s="3219" t="s">
        <v>4758</v>
      </c>
      <c r="E67" s="3219" t="s">
        <v>2800</v>
      </c>
      <c r="F67" s="3220"/>
      <c r="G67" s="3219" t="s">
        <v>4760</v>
      </c>
      <c r="H67" s="3220" t="s">
        <v>673</v>
      </c>
      <c r="I67" s="3220" t="s">
        <v>2833</v>
      </c>
      <c r="J67" s="3221" t="s">
        <v>3850</v>
      </c>
      <c r="K67" s="3221" t="s">
        <v>3851</v>
      </c>
      <c r="M67" s="3220"/>
      <c r="N67" s="3224"/>
      <c r="O67" s="3219"/>
      <c r="P67" s="3219"/>
      <c r="Q67" s="3220"/>
      <c r="R67" s="3219"/>
      <c r="S67" s="3220"/>
      <c r="T67" s="3220"/>
      <c r="U67" s="3221"/>
      <c r="V67" s="3221"/>
    </row>
    <row r="68" spans="2:22" ht="14.25">
      <c r="B68" s="3220" t="s">
        <v>3204</v>
      </c>
      <c r="C68" s="3224">
        <v>232</v>
      </c>
      <c r="D68" s="3219" t="s">
        <v>3093</v>
      </c>
      <c r="E68" s="3219" t="s">
        <v>1594</v>
      </c>
      <c r="F68" s="3220"/>
      <c r="G68" s="3219" t="s">
        <v>1802</v>
      </c>
      <c r="H68" s="3220" t="s">
        <v>673</v>
      </c>
      <c r="I68" s="3220" t="s">
        <v>2833</v>
      </c>
      <c r="J68" s="3221" t="s">
        <v>3850</v>
      </c>
      <c r="K68" s="3221" t="s">
        <v>3851</v>
      </c>
      <c r="M68" s="3220"/>
      <c r="N68" s="3224"/>
      <c r="O68" s="3219"/>
      <c r="P68" s="3219"/>
      <c r="Q68" s="3220"/>
      <c r="R68" s="3219"/>
      <c r="S68" s="3220"/>
      <c r="T68" s="3220"/>
      <c r="U68" s="3221"/>
      <c r="V68" s="3221"/>
    </row>
    <row r="69" spans="2:22" ht="14.25">
      <c r="B69" s="3220" t="s">
        <v>2993</v>
      </c>
      <c r="C69" s="3224">
        <v>233</v>
      </c>
      <c r="D69" s="3219" t="s">
        <v>1804</v>
      </c>
      <c r="E69" s="3219" t="s">
        <v>2799</v>
      </c>
      <c r="F69" s="3220"/>
      <c r="G69" s="3219" t="s">
        <v>3775</v>
      </c>
      <c r="H69" s="3220" t="s">
        <v>673</v>
      </c>
      <c r="I69" s="3220" t="s">
        <v>2833</v>
      </c>
      <c r="J69" s="3221" t="s">
        <v>3850</v>
      </c>
      <c r="K69" s="3221" t="s">
        <v>3851</v>
      </c>
      <c r="M69" s="3220"/>
      <c r="N69" s="3224"/>
      <c r="O69" s="3219"/>
      <c r="P69" s="3219"/>
      <c r="Q69" s="3220"/>
      <c r="R69" s="3219"/>
      <c r="S69" s="3220"/>
      <c r="T69" s="3220"/>
      <c r="U69" s="3221"/>
      <c r="V69" s="3221"/>
    </row>
    <row r="70" spans="2:22" ht="14.25">
      <c r="B70" s="3220" t="s">
        <v>3269</v>
      </c>
      <c r="C70" s="3224">
        <v>234</v>
      </c>
      <c r="D70" s="3219" t="s">
        <v>4029</v>
      </c>
      <c r="E70" s="3219" t="s">
        <v>4855</v>
      </c>
      <c r="F70" s="3220"/>
      <c r="G70" s="3219" t="s">
        <v>4031</v>
      </c>
      <c r="H70" s="3220" t="s">
        <v>581</v>
      </c>
      <c r="I70" s="3220" t="s">
        <v>2833</v>
      </c>
      <c r="J70" s="3221" t="s">
        <v>10</v>
      </c>
      <c r="K70" s="3221" t="s">
        <v>3848</v>
      </c>
      <c r="M70" s="3220"/>
      <c r="N70" s="3224"/>
      <c r="O70" s="3219"/>
      <c r="P70" s="3219"/>
      <c r="Q70" s="3220"/>
      <c r="R70" s="3219"/>
      <c r="S70" s="3220"/>
      <c r="T70" s="3220"/>
      <c r="U70" s="3221"/>
      <c r="V70" s="3221"/>
    </row>
    <row r="71" spans="2:22" ht="14.25">
      <c r="B71" s="3220" t="s">
        <v>4154</v>
      </c>
      <c r="C71" s="3224">
        <v>235</v>
      </c>
      <c r="D71" s="3219" t="s">
        <v>4021</v>
      </c>
      <c r="E71" s="3219" t="s">
        <v>4856</v>
      </c>
      <c r="F71" s="3220"/>
      <c r="G71" s="3219" t="s">
        <v>4249</v>
      </c>
      <c r="H71" s="3220" t="s">
        <v>581</v>
      </c>
      <c r="I71" s="3220" t="s">
        <v>667</v>
      </c>
      <c r="J71" s="3221" t="s">
        <v>10</v>
      </c>
      <c r="K71" s="3221" t="s">
        <v>3852</v>
      </c>
      <c r="M71" s="3220"/>
      <c r="N71" s="3224"/>
      <c r="O71" s="3219"/>
      <c r="P71" s="3219"/>
      <c r="Q71" s="3220"/>
      <c r="R71" s="3219"/>
      <c r="S71" s="3220"/>
      <c r="T71" s="3220"/>
      <c r="U71" s="3221"/>
      <c r="V71" s="3221"/>
    </row>
    <row r="72" spans="2:22" ht="14.25">
      <c r="B72" s="3244" t="s">
        <v>3122</v>
      </c>
      <c r="C72" s="3240">
        <v>236</v>
      </c>
      <c r="D72" s="3241" t="s">
        <v>5480</v>
      </c>
      <c r="E72" s="3241" t="s">
        <v>5481</v>
      </c>
      <c r="F72" s="3242" t="s">
        <v>5482</v>
      </c>
      <c r="G72" s="3241" t="s">
        <v>5483</v>
      </c>
      <c r="H72" s="3242" t="s">
        <v>5484</v>
      </c>
      <c r="I72" s="3242" t="s">
        <v>2833</v>
      </c>
      <c r="J72" s="3243" t="s">
        <v>5485</v>
      </c>
      <c r="K72" s="3243" t="s">
        <v>5486</v>
      </c>
      <c r="M72" s="3220"/>
      <c r="N72" s="3224"/>
      <c r="O72" s="3219"/>
      <c r="P72" s="3219"/>
      <c r="Q72" s="3220"/>
      <c r="R72" s="3219"/>
      <c r="S72" s="3220"/>
      <c r="T72" s="3220"/>
      <c r="U72" s="3221"/>
      <c r="V72" s="3221"/>
    </row>
    <row r="73" spans="2:22" ht="14.25">
      <c r="B73" s="3244" t="s">
        <v>2379</v>
      </c>
      <c r="C73" s="3240">
        <v>237</v>
      </c>
      <c r="D73" s="3241" t="s">
        <v>5516</v>
      </c>
      <c r="E73" s="3241" t="s">
        <v>5517</v>
      </c>
      <c r="F73" s="3242" t="s">
        <v>5482</v>
      </c>
      <c r="G73" s="3241" t="s">
        <v>5518</v>
      </c>
      <c r="H73" s="3242" t="s">
        <v>5484</v>
      </c>
      <c r="I73" s="3242" t="s">
        <v>2833</v>
      </c>
      <c r="J73" s="3243" t="s">
        <v>5519</v>
      </c>
      <c r="K73" s="3243" t="s">
        <v>4651</v>
      </c>
      <c r="M73" s="3220"/>
      <c r="N73" s="3224"/>
      <c r="O73" s="3219"/>
      <c r="P73" s="3219"/>
      <c r="Q73" s="3220"/>
      <c r="R73" s="3219"/>
      <c r="S73" s="3220"/>
      <c r="T73" s="3220"/>
      <c r="U73" s="3221"/>
      <c r="V73" s="3221"/>
    </row>
    <row r="74" spans="2:22" ht="14.25">
      <c r="B74" s="3220" t="s">
        <v>299</v>
      </c>
      <c r="C74" s="3224">
        <v>302</v>
      </c>
      <c r="D74" s="3219" t="s">
        <v>4507</v>
      </c>
      <c r="E74" s="3219" t="s">
        <v>2957</v>
      </c>
      <c r="F74" s="3220"/>
      <c r="G74" s="3219" t="s">
        <v>956</v>
      </c>
      <c r="H74" s="3220" t="s">
        <v>1788</v>
      </c>
      <c r="I74" s="3220" t="s">
        <v>667</v>
      </c>
      <c r="J74" s="3221" t="s">
        <v>4318</v>
      </c>
      <c r="K74" s="3221" t="s">
        <v>3116</v>
      </c>
      <c r="M74" s="3220"/>
      <c r="N74" s="3224"/>
      <c r="O74" s="3219"/>
      <c r="P74" s="3219"/>
      <c r="Q74" s="3220"/>
      <c r="R74" s="3219"/>
      <c r="S74" s="3220"/>
      <c r="T74" s="3220"/>
      <c r="U74" s="3221"/>
      <c r="V74" s="3221"/>
    </row>
    <row r="75" spans="2:22" ht="14.25">
      <c r="B75" s="3220" t="s">
        <v>1590</v>
      </c>
      <c r="C75" s="3224">
        <v>308</v>
      </c>
      <c r="D75" s="3219" t="s">
        <v>5536</v>
      </c>
      <c r="E75" s="3219" t="s">
        <v>5537</v>
      </c>
      <c r="F75" s="3220" t="s">
        <v>5538</v>
      </c>
      <c r="G75" s="3219" t="s">
        <v>5539</v>
      </c>
      <c r="H75" s="3220" t="s">
        <v>1788</v>
      </c>
      <c r="I75" s="3220" t="s">
        <v>2833</v>
      </c>
      <c r="J75" s="3221" t="s">
        <v>5540</v>
      </c>
      <c r="K75" s="3221" t="s">
        <v>5541</v>
      </c>
      <c r="M75" s="3220"/>
      <c r="N75" s="3224"/>
      <c r="O75" s="3219"/>
      <c r="P75" s="3219"/>
      <c r="Q75" s="3220"/>
      <c r="R75" s="3219"/>
      <c r="S75" s="3220"/>
      <c r="T75" s="3220"/>
      <c r="U75" s="3221"/>
      <c r="V75" s="3221"/>
    </row>
    <row r="76" spans="2:22" ht="14.25">
      <c r="B76" s="3220" t="s">
        <v>44</v>
      </c>
      <c r="C76" s="3224">
        <v>315</v>
      </c>
      <c r="D76" s="3219" t="s">
        <v>3385</v>
      </c>
      <c r="E76" s="3219" t="s">
        <v>1707</v>
      </c>
      <c r="F76" s="3220"/>
      <c r="G76" s="3219" t="s">
        <v>4421</v>
      </c>
      <c r="H76" s="3220" t="s">
        <v>2832</v>
      </c>
      <c r="I76" s="3220" t="s">
        <v>667</v>
      </c>
      <c r="J76" s="3221" t="s">
        <v>4316</v>
      </c>
      <c r="K76" s="3221" t="s">
        <v>3117</v>
      </c>
      <c r="M76" s="3220"/>
      <c r="N76" s="3224"/>
      <c r="O76" s="3219"/>
      <c r="P76" s="3219"/>
      <c r="Q76" s="3220"/>
      <c r="R76" s="3219"/>
      <c r="S76" s="3220"/>
      <c r="T76" s="3220"/>
      <c r="U76" s="3221"/>
      <c r="V76" s="3221"/>
    </row>
    <row r="77" spans="2:22" ht="14.25">
      <c r="B77" s="3220" t="s">
        <v>517</v>
      </c>
      <c r="C77" s="3224">
        <v>324</v>
      </c>
      <c r="D77" s="3219" t="s">
        <v>4489</v>
      </c>
      <c r="E77" s="3219" t="s">
        <v>2736</v>
      </c>
      <c r="F77" s="3220"/>
      <c r="G77" s="3219" t="s">
        <v>1452</v>
      </c>
      <c r="H77" s="3220" t="s">
        <v>2832</v>
      </c>
      <c r="I77" s="3220" t="s">
        <v>667</v>
      </c>
      <c r="J77" s="3221" t="s">
        <v>4316</v>
      </c>
      <c r="K77" s="3221" t="s">
        <v>3118</v>
      </c>
      <c r="M77" s="3220"/>
      <c r="N77" s="3224"/>
      <c r="O77" s="3219"/>
      <c r="P77" s="3219"/>
      <c r="Q77" s="3220"/>
      <c r="R77" s="3219"/>
      <c r="S77" s="3220"/>
      <c r="T77" s="3220"/>
      <c r="U77" s="3221"/>
      <c r="V77" s="3221"/>
    </row>
    <row r="78" spans="2:22" ht="14.25">
      <c r="B78" s="3220" t="s">
        <v>2282</v>
      </c>
      <c r="C78" s="3224">
        <v>332</v>
      </c>
      <c r="D78" s="3219" t="s">
        <v>3418</v>
      </c>
      <c r="E78" s="3219" t="s">
        <v>2737</v>
      </c>
      <c r="F78" s="3220"/>
      <c r="G78" s="3219" t="s">
        <v>1567</v>
      </c>
      <c r="H78" s="3220" t="s">
        <v>1568</v>
      </c>
      <c r="I78" s="3220" t="s">
        <v>667</v>
      </c>
      <c r="J78" s="3221" t="s">
        <v>2721</v>
      </c>
      <c r="K78" s="3221" t="s">
        <v>1179</v>
      </c>
      <c r="M78" s="3220"/>
      <c r="N78" s="3224"/>
      <c r="O78" s="3219"/>
      <c r="P78" s="3219"/>
      <c r="Q78" s="3220"/>
      <c r="R78" s="3219"/>
      <c r="S78" s="3220"/>
      <c r="T78" s="3220"/>
      <c r="U78" s="3221"/>
      <c r="V78" s="3221"/>
    </row>
    <row r="79" spans="2:22" ht="14.25">
      <c r="B79" s="3220" t="s">
        <v>3606</v>
      </c>
      <c r="C79" s="3224">
        <v>338</v>
      </c>
      <c r="D79" s="3219" t="s">
        <v>1818</v>
      </c>
      <c r="E79" s="3219" t="s">
        <v>2825</v>
      </c>
      <c r="F79" s="3220"/>
      <c r="G79" s="3219" t="s">
        <v>1163</v>
      </c>
      <c r="H79" s="3220" t="s">
        <v>1023</v>
      </c>
      <c r="I79" s="3220" t="s">
        <v>667</v>
      </c>
      <c r="J79" s="3221" t="s">
        <v>1180</v>
      </c>
      <c r="K79" s="3221" t="s">
        <v>1181</v>
      </c>
      <c r="M79" s="3220"/>
      <c r="N79" s="3224"/>
      <c r="O79" s="3219"/>
      <c r="P79" s="3219"/>
      <c r="Q79" s="3220"/>
      <c r="R79" s="3219"/>
      <c r="S79" s="3220"/>
      <c r="T79" s="3220"/>
      <c r="U79" s="3221"/>
      <c r="V79" s="3221"/>
    </row>
    <row r="80" spans="2:22" ht="14.25">
      <c r="B80" s="3220" t="s">
        <v>3609</v>
      </c>
      <c r="C80" s="3224">
        <v>339</v>
      </c>
      <c r="D80" s="3219" t="s">
        <v>690</v>
      </c>
      <c r="E80" s="3219" t="s">
        <v>2826</v>
      </c>
      <c r="F80" s="3220"/>
      <c r="G80" s="3219" t="s">
        <v>2893</v>
      </c>
      <c r="H80" s="3220" t="s">
        <v>1023</v>
      </c>
      <c r="I80" s="3220" t="s">
        <v>667</v>
      </c>
      <c r="J80" s="3221" t="s">
        <v>1180</v>
      </c>
      <c r="K80" s="3221" t="s">
        <v>1182</v>
      </c>
      <c r="M80" s="3220"/>
      <c r="N80" s="3224"/>
      <c r="O80" s="3219"/>
      <c r="P80" s="3219"/>
      <c r="Q80" s="3220"/>
      <c r="R80" s="3219"/>
      <c r="S80" s="3220"/>
      <c r="T80" s="3220"/>
      <c r="U80" s="3221"/>
      <c r="V80" s="3221"/>
    </row>
    <row r="81" spans="2:22" ht="14.25">
      <c r="B81" s="3220" t="s">
        <v>1994</v>
      </c>
      <c r="C81" s="3224">
        <v>342</v>
      </c>
      <c r="D81" s="3219" t="s">
        <v>1654</v>
      </c>
      <c r="E81" s="3219" t="s">
        <v>955</v>
      </c>
      <c r="F81" s="3220"/>
      <c r="G81" s="3219" t="s">
        <v>1377</v>
      </c>
      <c r="H81" s="3220" t="s">
        <v>1023</v>
      </c>
      <c r="I81" s="3220" t="s">
        <v>667</v>
      </c>
      <c r="J81" s="3221" t="s">
        <v>1180</v>
      </c>
      <c r="K81" s="3221" t="s">
        <v>2083</v>
      </c>
      <c r="M81" s="3220"/>
      <c r="N81" s="3224"/>
      <c r="O81" s="3219"/>
      <c r="P81" s="3219"/>
      <c r="Q81" s="3220"/>
      <c r="R81" s="3219"/>
      <c r="S81" s="3220"/>
      <c r="T81" s="3220"/>
      <c r="U81" s="3221"/>
      <c r="V81" s="3221"/>
    </row>
    <row r="82" spans="2:22" ht="14.25">
      <c r="B82" s="3220" t="s">
        <v>4298</v>
      </c>
      <c r="C82" s="3224">
        <v>343</v>
      </c>
      <c r="D82" s="3219" t="s">
        <v>2124</v>
      </c>
      <c r="E82" s="3219" t="s">
        <v>3390</v>
      </c>
      <c r="F82" s="3220"/>
      <c r="G82" s="3219" t="s">
        <v>613</v>
      </c>
      <c r="H82" s="3220" t="s">
        <v>1023</v>
      </c>
      <c r="I82" s="3220" t="s">
        <v>667</v>
      </c>
      <c r="J82" s="3221" t="s">
        <v>1180</v>
      </c>
      <c r="K82" s="3221" t="s">
        <v>1182</v>
      </c>
      <c r="M82" s="3220"/>
      <c r="N82" s="3224"/>
      <c r="O82" s="3219"/>
      <c r="P82" s="3219"/>
      <c r="Q82" s="3220"/>
      <c r="R82" s="3219"/>
      <c r="S82" s="3220"/>
      <c r="T82" s="3220"/>
      <c r="U82" s="3221"/>
      <c r="V82" s="3221"/>
    </row>
    <row r="83" spans="2:22" ht="14.25">
      <c r="B83" s="3220" t="s">
        <v>285</v>
      </c>
      <c r="C83" s="3224">
        <v>344</v>
      </c>
      <c r="D83" s="3219" t="s">
        <v>4342</v>
      </c>
      <c r="E83" s="3219" t="s">
        <v>3391</v>
      </c>
      <c r="F83" s="3220"/>
      <c r="G83" s="3219" t="s">
        <v>4351</v>
      </c>
      <c r="H83" s="3220" t="s">
        <v>1023</v>
      </c>
      <c r="I83" s="3220" t="s">
        <v>667</v>
      </c>
      <c r="J83" s="3221" t="s">
        <v>1180</v>
      </c>
      <c r="K83" s="3221" t="s">
        <v>1182</v>
      </c>
      <c r="M83" s="3220"/>
      <c r="N83" s="3224"/>
      <c r="O83" s="3219"/>
      <c r="P83" s="3219"/>
      <c r="Q83" s="3220"/>
      <c r="R83" s="3219"/>
      <c r="S83" s="3220"/>
      <c r="T83" s="3220"/>
      <c r="U83" s="3221"/>
      <c r="V83" s="3221"/>
    </row>
    <row r="84" spans="2:22" ht="14.25">
      <c r="B84" s="3220" t="s">
        <v>1129</v>
      </c>
      <c r="C84" s="3224">
        <v>356</v>
      </c>
      <c r="D84" s="3219" t="s">
        <v>990</v>
      </c>
      <c r="E84" s="3219" t="s">
        <v>2541</v>
      </c>
      <c r="F84" s="3220"/>
      <c r="G84" s="3219" t="s">
        <v>992</v>
      </c>
      <c r="H84" s="3220" t="s">
        <v>3095</v>
      </c>
      <c r="I84" s="3220" t="s">
        <v>667</v>
      </c>
      <c r="J84" s="3221" t="s">
        <v>3846</v>
      </c>
      <c r="K84" s="3221" t="s">
        <v>3847</v>
      </c>
      <c r="M84" s="3220"/>
      <c r="N84" s="3224"/>
      <c r="O84" s="3219"/>
      <c r="P84" s="3219"/>
      <c r="Q84" s="3220"/>
      <c r="R84" s="3219"/>
      <c r="S84" s="3220"/>
      <c r="T84" s="3220"/>
      <c r="U84" s="3221"/>
      <c r="V84" s="3221"/>
    </row>
    <row r="85" spans="2:22" ht="14.25">
      <c r="B85" s="3220" t="s">
        <v>1140</v>
      </c>
      <c r="C85" s="3224">
        <v>358</v>
      </c>
      <c r="D85" s="3219" t="s">
        <v>5493</v>
      </c>
      <c r="E85" s="3219" t="s">
        <v>5494</v>
      </c>
      <c r="F85" s="3220" t="s">
        <v>5482</v>
      </c>
      <c r="G85" s="3219" t="s">
        <v>5495</v>
      </c>
      <c r="H85" s="3220" t="s">
        <v>3095</v>
      </c>
      <c r="I85" s="3220" t="s">
        <v>2833</v>
      </c>
      <c r="J85" s="3221" t="s">
        <v>10</v>
      </c>
      <c r="K85" s="3221" t="s">
        <v>5496</v>
      </c>
      <c r="M85" s="3220"/>
      <c r="N85" s="3224"/>
      <c r="O85" s="3219"/>
      <c r="P85" s="3219"/>
      <c r="Q85" s="3220"/>
      <c r="R85" s="3219"/>
      <c r="S85" s="3220"/>
      <c r="T85" s="3220"/>
      <c r="U85" s="3221"/>
      <c r="V85" s="3221"/>
    </row>
    <row r="86" spans="2:22" ht="14.25">
      <c r="B86" s="3244" t="s">
        <v>4158</v>
      </c>
      <c r="C86" s="3240">
        <v>359</v>
      </c>
      <c r="D86" s="3241" t="s">
        <v>5502</v>
      </c>
      <c r="E86" s="3241" t="s">
        <v>5503</v>
      </c>
      <c r="F86" s="3242" t="s">
        <v>5482</v>
      </c>
      <c r="G86" s="3241" t="s">
        <v>5504</v>
      </c>
      <c r="H86" s="3242" t="s">
        <v>5505</v>
      </c>
      <c r="I86" s="3242" t="s">
        <v>2833</v>
      </c>
      <c r="J86" s="3243" t="s">
        <v>5506</v>
      </c>
      <c r="K86" s="3243" t="s">
        <v>5507</v>
      </c>
      <c r="M86" s="3220"/>
      <c r="N86" s="3224"/>
      <c r="O86" s="3219"/>
      <c r="P86" s="3219"/>
      <c r="Q86" s="3220"/>
      <c r="R86" s="3219"/>
      <c r="S86" s="3220"/>
      <c r="T86" s="3220"/>
      <c r="U86" s="3221"/>
      <c r="V86" s="3221"/>
    </row>
    <row r="87" spans="2:22" ht="14.25">
      <c r="B87" s="3244" t="s">
        <v>1844</v>
      </c>
      <c r="C87" s="3240">
        <v>360</v>
      </c>
      <c r="D87" s="3241" t="s">
        <v>5508</v>
      </c>
      <c r="E87" s="3241" t="s">
        <v>5509</v>
      </c>
      <c r="F87" s="3242" t="s">
        <v>5482</v>
      </c>
      <c r="G87" s="3241" t="s">
        <v>5510</v>
      </c>
      <c r="H87" s="3242" t="s">
        <v>5505</v>
      </c>
      <c r="I87" s="3242" t="s">
        <v>2833</v>
      </c>
      <c r="J87" s="3243" t="s">
        <v>5506</v>
      </c>
      <c r="K87" s="3243" t="s">
        <v>5507</v>
      </c>
      <c r="M87" s="3220"/>
      <c r="N87" s="3224"/>
      <c r="O87" s="3219"/>
      <c r="P87" s="3219"/>
      <c r="Q87" s="3220"/>
      <c r="R87" s="3219"/>
      <c r="S87" s="3220"/>
      <c r="T87" s="3220"/>
      <c r="U87" s="3221"/>
      <c r="V87" s="3221"/>
    </row>
    <row r="88" spans="2:22" ht="14.25">
      <c r="B88" s="3244" t="s">
        <v>3406</v>
      </c>
      <c r="C88" s="3240">
        <v>361</v>
      </c>
      <c r="D88" s="3241" t="s">
        <v>5525</v>
      </c>
      <c r="E88" s="3241" t="s">
        <v>5526</v>
      </c>
      <c r="F88" s="3242" t="s">
        <v>5482</v>
      </c>
      <c r="G88" s="3241" t="s">
        <v>5527</v>
      </c>
      <c r="H88" s="3242" t="s">
        <v>5491</v>
      </c>
      <c r="I88" s="3242" t="s">
        <v>2833</v>
      </c>
      <c r="J88" s="3243" t="s">
        <v>5523</v>
      </c>
      <c r="K88" s="3243" t="s">
        <v>5524</v>
      </c>
      <c r="M88" s="3220"/>
      <c r="N88" s="3224"/>
      <c r="O88" s="3219"/>
      <c r="P88" s="3219"/>
      <c r="Q88" s="3220"/>
      <c r="R88" s="3219"/>
      <c r="S88" s="3220"/>
      <c r="T88" s="3220"/>
      <c r="U88" s="3221"/>
      <c r="V88" s="3221"/>
    </row>
    <row r="89" spans="2:22" ht="14.25">
      <c r="B89" s="3244" t="s">
        <v>1875</v>
      </c>
      <c r="C89" s="3240">
        <v>362</v>
      </c>
      <c r="D89" s="3241" t="s">
        <v>5520</v>
      </c>
      <c r="E89" s="3241" t="s">
        <v>5521</v>
      </c>
      <c r="F89" s="3242" t="s">
        <v>5482</v>
      </c>
      <c r="G89" s="3241" t="s">
        <v>5522</v>
      </c>
      <c r="H89" s="3242" t="s">
        <v>5491</v>
      </c>
      <c r="I89" s="3242" t="s">
        <v>2833</v>
      </c>
      <c r="J89" s="3243" t="s">
        <v>5523</v>
      </c>
      <c r="K89" s="3243" t="s">
        <v>5524</v>
      </c>
      <c r="M89" s="3220"/>
      <c r="N89" s="3224"/>
      <c r="O89" s="3219"/>
      <c r="P89" s="3219"/>
      <c r="Q89" s="3220"/>
      <c r="R89" s="3219"/>
      <c r="S89" s="3220"/>
      <c r="T89" s="3220"/>
      <c r="U89" s="3221"/>
      <c r="V89" s="3221"/>
    </row>
    <row r="90" spans="2:22" ht="14.25">
      <c r="B90" s="3220" t="s">
        <v>4488</v>
      </c>
      <c r="C90" s="3224">
        <v>363</v>
      </c>
      <c r="D90" s="3219" t="s">
        <v>5528</v>
      </c>
      <c r="E90" s="3219" t="s">
        <v>5529</v>
      </c>
      <c r="F90" s="3220" t="s">
        <v>5482</v>
      </c>
      <c r="G90" s="3219" t="s">
        <v>5530</v>
      </c>
      <c r="H90" s="3220" t="s">
        <v>5505</v>
      </c>
      <c r="I90" s="3220" t="s">
        <v>2833</v>
      </c>
      <c r="J90" s="3221" t="s">
        <v>5506</v>
      </c>
      <c r="K90" s="3221" t="s">
        <v>5507</v>
      </c>
      <c r="M90" s="3220"/>
      <c r="N90" s="3224"/>
      <c r="O90" s="3219"/>
      <c r="P90" s="3219"/>
      <c r="Q90" s="3220"/>
      <c r="R90" s="3219"/>
      <c r="S90" s="3220"/>
      <c r="T90" s="3220"/>
      <c r="U90" s="3221"/>
      <c r="V90" s="3221"/>
    </row>
    <row r="91" spans="2:22" ht="14.25">
      <c r="B91" s="3220" t="s">
        <v>2731</v>
      </c>
      <c r="C91" s="3224">
        <v>401</v>
      </c>
      <c r="D91" s="3219" t="s">
        <v>5497</v>
      </c>
      <c r="E91" s="3219" t="s">
        <v>5498</v>
      </c>
      <c r="F91" s="3220" t="s">
        <v>5482</v>
      </c>
      <c r="G91" s="3219" t="s">
        <v>5499</v>
      </c>
      <c r="H91" s="3220" t="s">
        <v>755</v>
      </c>
      <c r="I91" s="3220" t="s">
        <v>667</v>
      </c>
      <c r="J91" s="3221" t="s">
        <v>5500</v>
      </c>
      <c r="K91" s="3221" t="s">
        <v>5501</v>
      </c>
      <c r="M91" s="3220"/>
      <c r="N91" s="3224"/>
      <c r="O91" s="3219"/>
      <c r="P91" s="3219"/>
      <c r="Q91" s="3220"/>
      <c r="R91" s="3219"/>
      <c r="S91" s="3220"/>
      <c r="T91" s="3220"/>
      <c r="U91" s="3221"/>
      <c r="V91" s="3221"/>
    </row>
    <row r="92" spans="2:22" ht="14.25">
      <c r="B92" s="3220" t="s">
        <v>3417</v>
      </c>
      <c r="C92" s="3224">
        <v>402</v>
      </c>
      <c r="D92" s="3219" t="s">
        <v>5531</v>
      </c>
      <c r="E92" s="3219" t="s">
        <v>5532</v>
      </c>
      <c r="F92" s="3220" t="s">
        <v>5482</v>
      </c>
      <c r="G92" s="3219" t="s">
        <v>5533</v>
      </c>
      <c r="H92" s="3220" t="s">
        <v>5505</v>
      </c>
      <c r="I92" s="3220" t="s">
        <v>2833</v>
      </c>
      <c r="J92" s="3221" t="s">
        <v>5534</v>
      </c>
      <c r="K92" s="3221" t="s">
        <v>5535</v>
      </c>
      <c r="M92" s="3220"/>
      <c r="N92" s="3224"/>
      <c r="O92" s="3219"/>
      <c r="P92" s="3219"/>
      <c r="Q92" s="3220"/>
      <c r="R92" s="3219"/>
      <c r="S92" s="3220"/>
      <c r="T92" s="3220"/>
      <c r="U92" s="3221"/>
      <c r="V92" s="3221"/>
    </row>
  </sheetData>
  <sortState ref="N16:V26">
    <sortCondition ref="N16:N26"/>
  </sortState>
  <mergeCells count="2">
    <mergeCell ref="G7:K7"/>
    <mergeCell ref="R7:V7"/>
  </mergeCells>
  <phoneticPr fontId="230" type="noConversion"/>
  <printOptions horizontalCentered="1"/>
  <pageMargins left="0" right="0" top="0" bottom="0" header="0" footer="0"/>
  <pageSetup paperSize="9" scale="65" fitToHeight="2" orientation="landscape" horizontalDpi="120" verticalDpi="72"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33</vt:i4>
      </vt:variant>
      <vt:variant>
        <vt:lpstr>Rangos con nombre</vt:lpstr>
      </vt:variant>
      <vt:variant>
        <vt:i4>27</vt:i4>
      </vt:variant>
    </vt:vector>
  </HeadingPairs>
  <TitlesOfParts>
    <vt:vector size="60" baseType="lpstr">
      <vt:lpstr>Cta Med</vt:lpstr>
      <vt:lpstr>Personal Takushi</vt:lpstr>
      <vt:lpstr>Unds_Carrga_Peligrs</vt:lpstr>
      <vt:lpstr>Unds-Rep_Qmpc</vt:lpstr>
      <vt:lpstr>Unds-Rep_Qmpc (2016-2017)</vt:lpstr>
      <vt:lpstr>KlmRc_Unds</vt:lpstr>
      <vt:lpstr>Hoja4</vt:lpstr>
      <vt:lpstr>Merc en General</vt:lpstr>
      <vt:lpstr>MTC-Takushi</vt:lpstr>
      <vt:lpstr>Borrador Tl-Bcp </vt:lpstr>
      <vt:lpstr>VENCIMIENTOS</vt:lpstr>
      <vt:lpstr>MTC-Transcosta</vt:lpstr>
      <vt:lpstr>Ant_MTC-Takushi</vt:lpstr>
      <vt:lpstr>Reg_Nxtl</vt:lpstr>
      <vt:lpstr>Revisones Tecnicas</vt:lpstr>
      <vt:lpstr>Flota al 260109</vt:lpstr>
      <vt:lpstr>TCT-Operac</vt:lpstr>
      <vt:lpstr>Cert-Oper-MTC</vt:lpstr>
      <vt:lpstr>Conv de 02 a 03 ejes</vt:lpstr>
      <vt:lpstr>Cert-UNI-ORLC Ok</vt:lpstr>
      <vt:lpstr>MTC-Veh</vt:lpstr>
      <vt:lpstr>Certt Conf UNI (MTC-TCvial)</vt:lpstr>
      <vt:lpstr>Certt Conf UNI</vt:lpstr>
      <vt:lpstr>PERSONAL Transcosta</vt:lpstr>
      <vt:lpstr>Data Transcosta</vt:lpstr>
      <vt:lpstr>DISTRIBUCION Transcosta</vt:lpstr>
      <vt:lpstr>Hoja2</vt:lpstr>
      <vt:lpstr>Hoja1</vt:lpstr>
      <vt:lpstr>Ransa - Varios</vt:lpstr>
      <vt:lpstr>Varios</vt:lpstr>
      <vt:lpstr>Pgs-DesMed</vt:lpstr>
      <vt:lpstr>Presp-Taller</vt:lpstr>
      <vt:lpstr>Contactos 090311</vt:lpstr>
      <vt:lpstr>'Ant_MTC-Takushi'!Área_de_impresión</vt:lpstr>
      <vt:lpstr>'Borrador Tl-Bcp '!Área_de_impresión</vt:lpstr>
      <vt:lpstr>'Cert-Oper-MTC'!Área_de_impresión</vt:lpstr>
      <vt:lpstr>'Certt Conf UNI'!Área_de_impresión</vt:lpstr>
      <vt:lpstr>'Certt Conf UNI (MTC-TCvial)'!Área_de_impresión</vt:lpstr>
      <vt:lpstr>'Cert-UNI-ORLC Ok'!Área_de_impresión</vt:lpstr>
      <vt:lpstr>'Conv de 02 a 03 ejes'!Área_de_impresión</vt:lpstr>
      <vt:lpstr>'Cta Med'!Área_de_impresión</vt:lpstr>
      <vt:lpstr>'Data Transcosta'!Área_de_impresión</vt:lpstr>
      <vt:lpstr>'DISTRIBUCION Transcosta'!Área_de_impresión</vt:lpstr>
      <vt:lpstr>'Flota al 260109'!Área_de_impresión</vt:lpstr>
      <vt:lpstr>Hoja2!Área_de_impresión</vt:lpstr>
      <vt:lpstr>Hoja4!Área_de_impresión</vt:lpstr>
      <vt:lpstr>'MTC-Takushi'!Área_de_impresión</vt:lpstr>
      <vt:lpstr>'MTC-Transcosta'!Área_de_impresión</vt:lpstr>
      <vt:lpstr>'PERSONAL Transcosta'!Área_de_impresión</vt:lpstr>
      <vt:lpstr>'Pgs-DesMed'!Área_de_impresión</vt:lpstr>
      <vt:lpstr>'Presp-Taller'!Área_de_impresión</vt:lpstr>
      <vt:lpstr>'Ransa - Varios'!Área_de_impresión</vt:lpstr>
      <vt:lpstr>Reg_Nxtl!Área_de_impresión</vt:lpstr>
      <vt:lpstr>'Revisones Tecnicas'!Área_de_impresión</vt:lpstr>
      <vt:lpstr>'TCT-Operac'!Área_de_impresión</vt:lpstr>
      <vt:lpstr>Varios!Área_de_impresión</vt:lpstr>
      <vt:lpstr>VENCIMIENTOS!Área_de_impresión</vt:lpstr>
      <vt:lpstr>Contactos</vt:lpstr>
      <vt:lpstr>'Ant_MTC-Takushi'!Títulos_a_imprimir</vt:lpstr>
      <vt:lpstr>'MTC-Takushi'!Títulos_a_imprimir</vt:lpstr>
    </vt:vector>
  </TitlesOfParts>
  <Company>TRANSCOSTA S. 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Cesar Enrique Quispe Ramos</dc:creator>
  <cp:lastModifiedBy>CesarQ</cp:lastModifiedBy>
  <cp:lastPrinted>2019-06-24T16:45:08Z</cp:lastPrinted>
  <dcterms:created xsi:type="dcterms:W3CDTF">2007-01-08T16:54:55Z</dcterms:created>
  <dcterms:modified xsi:type="dcterms:W3CDTF">2020-03-05T21:02:19Z</dcterms:modified>
</cp:coreProperties>
</file>